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ustom.xml" ContentType="application/vnd.openxmlformats-officedocument.custom-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autoCompressPictures="0" defaultThemeVersion="124226"/>
  <mc:AlternateContent xmlns:mc="http://schemas.openxmlformats.org/markup-compatibility/2006">
    <mc:Choice Requires="x15">
      <x15ac:absPath xmlns:x15ac="http://schemas.microsoft.com/office/spreadsheetml/2010/11/ac" url="C:\Users\ADMIN\Desktop\ANNEXES VIH 12 JUIN 2020\Clarification 2\Envoie Clarification\"/>
    </mc:Choice>
  </mc:AlternateContent>
  <xr:revisionPtr revIDLastSave="0" documentId="8_{016157E2-9557-4178-8545-0999A833DF7E}" xr6:coauthVersionLast="45" xr6:coauthVersionMax="45" xr10:uidLastSave="{00000000-0000-0000-0000-000000000000}"/>
  <workbookProtection workbookPassword="E205" lockStructure="1"/>
  <bookViews>
    <workbookView xWindow="-110" yWindow="-110" windowWidth="19420" windowHeight="10420" tabRatio="710" activeTab="5" xr2:uid="{00000000-000D-0000-FFFF-FFFF00000000}"/>
  </bookViews>
  <sheets>
    <sheet name="Cover Sheet" sheetId="8" r:id="rId1"/>
    <sheet name="Instructions" sheetId="2" r:id="rId2"/>
    <sheet name="HIV Tables" sheetId="1" r:id="rId3"/>
    <sheet name="NSP gap table" sheetId="12" r:id="rId4"/>
    <sheet name="PrEP gap table" sheetId="13" r:id="rId5"/>
    <sheet name="Condom gap table" sheetId="5" r:id="rId6"/>
    <sheet name="Male Circumcision Gap Table" sheetId="3" r:id="rId7"/>
    <sheet name="Blank table (only if needed)" sheetId="10" r:id="rId8"/>
    <sheet name="HIV dropdown" sheetId="7" state="hidden" r:id="rId9"/>
    <sheet name="Translations" sheetId="4" state="hidden" r:id="rId10"/>
  </sheets>
  <definedNames>
    <definedName name="ApplicantType">'HIV dropdown'!$X$3:$X$5</definedName>
    <definedName name="DépistagedelatuberculosechezlespatientsséropositifsauVIH">'HIV dropdown'!$C$28</definedName>
    <definedName name="DifferentiatedHIVtestingservices">'HIV dropdown'!$B$51:$B$60</definedName>
    <definedName name="Geography">'HIV dropdown'!$Q$3:$Q$271</definedName>
    <definedName name="HIVModulesIndicators">'HIV dropdown'!$A$6:$B$16</definedName>
    <definedName name="KeyPop">'HIV dropdown'!$A$75:$A$83</definedName>
    <definedName name="KeyPopPrep">'HIV dropdown'!$A$86:$A$94</definedName>
    <definedName name="LangOffset">Translations!$C$1</definedName>
    <definedName name="Language">Instructions!$B$6</definedName>
    <definedName name="ListHIVModules">'HIV dropdown'!$A$6:$A$16</definedName>
    <definedName name="Preventionprogramsforkeypopulations_definedpackageofservices">'HIV dropdown'!$B$40:$B$48</definedName>
    <definedName name="PreventionprogramsforPWIDandtheirpartners_Needleandsyringedistribution">'HIV dropdown'!$B$63</definedName>
    <definedName name="PreventionprogramsforPWIDandtheirpartners_OSTandotherdrugdependencetreatmentforPWIDs">'HIV dropdown'!$B$66</definedName>
    <definedName name="Programasdeprevencióndestinadosalaspoblacionesclave.Paquetedefinidodeservicios">'HIV dropdown'!$D$40:$D$48</definedName>
    <definedName name="Programasdeprevencióndestinadosalaspoblacionesclave.PruebasdeVIH">'HIV dropdown'!$D$51:$D$59</definedName>
    <definedName name="Programasdeprevenciónintegralparapersonasqueseinyectandrogasysusparejas_Programasdeagujasyjeringuillas">'HIV dropdown'!$D$63</definedName>
    <definedName name="Programasdeprevenciónintegralparapersonasqueseinyectandrogasysusparejas_Terapiadesustitucióndeopiáceosyotrostratamientosparaladrogodependenciadepersonasqueseinyectandrogas">'HIV dropdown'!$D$66</definedName>
    <definedName name="Programmesdepréventiondestinésauxusagersdedroguesinjectablesetàleurspartenaires_Programmesliésauxaiguillesetdeseringues">'HIV dropdown'!$C$63</definedName>
    <definedName name="Programmesdepréventiondestinésauxusagersdedroguesinjectablesetàleurspartenaires_Traitementsdesubstitutionauxopiacésetautrestraitementsdeladépendancepourlesusagersdedroguesinjectables">'HIV dropdown'!$C$66</definedName>
    <definedName name="Programmesdepréventionpourlespopulationsclés_DépistageduVIH">'HIV dropdown'!$C$51:$C$60</definedName>
    <definedName name="Programmesdepréventionpourlespopulationsclés_Paquetdeservicesdéfinis">'HIV dropdown'!$C$40:$C$48</definedName>
    <definedName name="RevisióndetuberculosisenpacientesconVIH">'HIV dropdown'!$D$28</definedName>
    <definedName name="ServicesdedépistagedifférenciésduVIH">'HIV dropdown'!$C$51:$C$60</definedName>
    <definedName name="ServiciosdiferenciadosdepruebasdeVIH">'HIV dropdown'!$D$51:$D$60</definedName>
    <definedName name="TBscreeningamongHIVpatients">'HIV dropdown'!$B$28</definedName>
    <definedName name="Traitementpriseenchargeetsoutien_Prestationdeservicesetpriseenchargedifférenciéespourlestraitementsantirétroviraux">'HIV dropdown'!$C$20:$C$22</definedName>
    <definedName name="Tratamientoatenciónyapoyo_Prestacióndeserviciosdiferenciadosatenciónytratamientoantirretroviral">'HIV dropdown'!$D$20:$D$22</definedName>
    <definedName name="TreatmentCareandSupport_ART">'HIV dropdown'!$B$20:$B$22</definedName>
    <definedName name="TreatmentCareandSupport_DifferentiatedARTServiceDeliveryAndCare">'HIV dropdown'!$B$20:$B$22</definedName>
    <definedName name="_xlnm.Print_Area" localSheetId="7">'Blank table (only if needed)'!$A$1:$F$350</definedName>
    <definedName name="_xlnm.Print_Area" localSheetId="5">'Condom gap table'!$A$1:$F$56</definedName>
    <definedName name="_xlnm.Print_Area" localSheetId="2">'HIV Tables'!$A$1:$F$206</definedName>
    <definedName name="_xlnm.Print_Area" localSheetId="1">Instructions!$A$1:$G$115</definedName>
    <definedName name="_xlnm.Print_Area" localSheetId="6">'Male Circumcision Gap Table'!$A$1:$F$35</definedName>
    <definedName name="_xlnm.Print_Area" localSheetId="3">'NSP gap table'!$A$1:$F$38</definedName>
    <definedName name="_xlnm.Print_Area" localSheetId="4">'PrEP gap table'!$A$1:$F$36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13" l="1"/>
  <c r="E30" i="13" s="1"/>
  <c r="C18" i="13"/>
  <c r="C30" i="13" s="1"/>
  <c r="C133" i="1"/>
  <c r="D30" i="13"/>
  <c r="C240" i="10"/>
  <c r="D240" i="10"/>
  <c r="E240" i="10"/>
  <c r="D18" i="13"/>
  <c r="C22" i="13"/>
  <c r="C232" i="10"/>
  <c r="E133" i="1"/>
  <c r="D133" i="1"/>
  <c r="D275" i="10"/>
  <c r="C275" i="10"/>
  <c r="D30" i="10"/>
  <c r="E30" i="10"/>
  <c r="C30" i="10"/>
  <c r="D19" i="5" l="1"/>
  <c r="E19" i="5"/>
  <c r="C19" i="5"/>
  <c r="D42" i="5" l="1"/>
  <c r="E42" i="5"/>
  <c r="C42" i="5"/>
  <c r="E21" i="5"/>
  <c r="C21" i="5"/>
  <c r="C30" i="5"/>
  <c r="E25" i="5"/>
  <c r="D25" i="5"/>
  <c r="C25" i="5"/>
  <c r="D21" i="5"/>
  <c r="D20" i="5"/>
  <c r="E20" i="5"/>
  <c r="C20" i="5"/>
  <c r="D18" i="5"/>
  <c r="E18" i="5"/>
  <c r="C18" i="5"/>
  <c r="D187" i="1" l="1"/>
  <c r="E187" i="1"/>
  <c r="C187" i="1"/>
  <c r="E265" i="10" l="1"/>
  <c r="D265" i="10"/>
  <c r="C265" i="10"/>
  <c r="E262" i="10"/>
  <c r="D262" i="10"/>
  <c r="C262" i="10"/>
  <c r="E191" i="1" l="1"/>
  <c r="D191" i="1"/>
  <c r="C191" i="1"/>
  <c r="E159" i="1"/>
  <c r="D159" i="1"/>
  <c r="C159" i="1"/>
  <c r="E227" i="10" l="1"/>
  <c r="D227" i="10"/>
  <c r="C227" i="10"/>
  <c r="E195" i="10"/>
  <c r="D195" i="10"/>
  <c r="C197" i="10" l="1"/>
  <c r="D197" i="10" s="1"/>
  <c r="E197" i="10" s="1"/>
  <c r="E205" i="10" l="1"/>
  <c r="D205" i="10"/>
  <c r="C195" i="10"/>
  <c r="C205" i="10" s="1"/>
  <c r="C160" i="10"/>
  <c r="C170" i="10" s="1"/>
  <c r="E157" i="10"/>
  <c r="E160" i="10" s="1"/>
  <c r="D157" i="10"/>
  <c r="D160" i="10" s="1"/>
  <c r="C157" i="10"/>
  <c r="E90" i="10"/>
  <c r="D90" i="10"/>
  <c r="C90" i="10"/>
  <c r="E122" i="10"/>
  <c r="E125" i="10" s="1"/>
  <c r="D122" i="10"/>
  <c r="C122" i="10"/>
  <c r="E135" i="10" l="1"/>
  <c r="C125" i="10"/>
  <c r="C135" i="10" s="1"/>
  <c r="D125" i="10"/>
  <c r="D135" i="10" s="1"/>
  <c r="E170" i="10"/>
  <c r="D170" i="10"/>
  <c r="E65" i="10" l="1"/>
  <c r="E55" i="10"/>
  <c r="D55" i="10"/>
  <c r="D65" i="10" s="1"/>
  <c r="C55" i="10"/>
  <c r="C65" i="10" s="1"/>
  <c r="E17" i="10"/>
  <c r="E20" i="10" s="1"/>
  <c r="D17" i="10"/>
  <c r="D20" i="10" s="1"/>
  <c r="C17" i="10"/>
  <c r="C20" i="10" l="1"/>
  <c r="D100" i="10" l="1"/>
  <c r="E100" i="10"/>
  <c r="C100" i="10"/>
  <c r="E32" i="5" l="1"/>
  <c r="D32" i="5"/>
  <c r="C32" i="5"/>
  <c r="E30" i="5"/>
  <c r="D30" i="5"/>
  <c r="E201" i="1"/>
  <c r="D201" i="1"/>
  <c r="C201" i="1"/>
  <c r="E157" i="1"/>
  <c r="E167" i="1" s="1"/>
  <c r="D157" i="1"/>
  <c r="D167" i="1" s="1"/>
  <c r="C157" i="1"/>
  <c r="C167" i="1" s="1"/>
  <c r="E120" i="1"/>
  <c r="D120" i="1"/>
  <c r="D123" i="1" s="1"/>
  <c r="C120" i="1"/>
  <c r="E91" i="1"/>
  <c r="D91" i="1"/>
  <c r="C91" i="1"/>
  <c r="E86" i="1"/>
  <c r="E89" i="1" s="1"/>
  <c r="D86" i="1"/>
  <c r="D89" i="1" s="1"/>
  <c r="C86" i="1"/>
  <c r="C89" i="1" s="1"/>
  <c r="C99" i="1" s="1"/>
  <c r="D55" i="1"/>
  <c r="D65" i="1" s="1"/>
  <c r="E55" i="1"/>
  <c r="E65" i="1" s="1"/>
  <c r="C55" i="1"/>
  <c r="C65" i="1" s="1"/>
  <c r="C51" i="1"/>
  <c r="D51" i="1" s="1"/>
  <c r="E51" i="1" s="1"/>
  <c r="C123" i="1" l="1"/>
  <c r="E123" i="1"/>
  <c r="D99" i="1"/>
  <c r="E99" i="1"/>
  <c r="E18" i="1"/>
  <c r="E21" i="1" s="1"/>
  <c r="D18" i="1"/>
  <c r="D21" i="1" s="1"/>
  <c r="C18" i="1"/>
  <c r="C21" i="1" s="1"/>
  <c r="E346" i="10" l="1"/>
  <c r="D346" i="10"/>
  <c r="C346" i="10"/>
  <c r="E339" i="10"/>
  <c r="E347" i="10" s="1"/>
  <c r="D339" i="10"/>
  <c r="D347" i="10" s="1"/>
  <c r="C339" i="10"/>
  <c r="C347" i="10" s="1"/>
  <c r="E338" i="10"/>
  <c r="D338" i="10"/>
  <c r="C338" i="10"/>
  <c r="E336" i="10"/>
  <c r="D336" i="10"/>
  <c r="C336" i="10"/>
  <c r="E333" i="10"/>
  <c r="D333" i="10"/>
  <c r="C333" i="10"/>
  <c r="E311" i="10"/>
  <c r="D311" i="10"/>
  <c r="C311" i="10"/>
  <c r="E304" i="10"/>
  <c r="E312" i="10" s="1"/>
  <c r="D304" i="10"/>
  <c r="D312" i="10" s="1"/>
  <c r="C304" i="10"/>
  <c r="C312" i="10" s="1"/>
  <c r="E303" i="10"/>
  <c r="D303" i="10"/>
  <c r="C303" i="10"/>
  <c r="E301" i="10"/>
  <c r="D301" i="10"/>
  <c r="C301" i="10"/>
  <c r="E298" i="10"/>
  <c r="D298" i="10"/>
  <c r="C298" i="10"/>
  <c r="E276" i="10"/>
  <c r="D276" i="10"/>
  <c r="C276" i="10"/>
  <c r="E269" i="10"/>
  <c r="E270" i="10" s="1"/>
  <c r="D269" i="10"/>
  <c r="D272" i="10" s="1"/>
  <c r="D273" i="10" s="1"/>
  <c r="C269" i="10"/>
  <c r="C277" i="10" s="1"/>
  <c r="E268" i="10"/>
  <c r="D268" i="10"/>
  <c r="C268" i="10"/>
  <c r="E266" i="10"/>
  <c r="D266" i="10"/>
  <c r="C266" i="10"/>
  <c r="E263" i="10"/>
  <c r="D263" i="10"/>
  <c r="C263" i="10"/>
  <c r="E241" i="10"/>
  <c r="D241" i="10"/>
  <c r="C241" i="10"/>
  <c r="E234" i="10"/>
  <c r="E242" i="10" s="1"/>
  <c r="D234" i="10"/>
  <c r="D242" i="10" s="1"/>
  <c r="C234" i="10"/>
  <c r="C242" i="10" s="1"/>
  <c r="E233" i="10"/>
  <c r="D233" i="10"/>
  <c r="C233" i="10"/>
  <c r="E231" i="10"/>
  <c r="D231" i="10"/>
  <c r="C231" i="10"/>
  <c r="E228" i="10"/>
  <c r="D228" i="10"/>
  <c r="C228" i="10"/>
  <c r="E199" i="10"/>
  <c r="E207" i="10" s="1"/>
  <c r="D199" i="10"/>
  <c r="D207" i="10" s="1"/>
  <c r="C199" i="10"/>
  <c r="C207" i="10" s="1"/>
  <c r="E171" i="10"/>
  <c r="D171" i="10"/>
  <c r="C171" i="10"/>
  <c r="E164" i="10"/>
  <c r="E172" i="10" s="1"/>
  <c r="D164" i="10"/>
  <c r="D172" i="10" s="1"/>
  <c r="C164" i="10"/>
  <c r="C172" i="10" s="1"/>
  <c r="C173" i="10" s="1"/>
  <c r="E163" i="10"/>
  <c r="D163" i="10"/>
  <c r="C163" i="10"/>
  <c r="E161" i="10"/>
  <c r="D161" i="10"/>
  <c r="C161" i="10"/>
  <c r="E158" i="10"/>
  <c r="D158" i="10"/>
  <c r="C158" i="10"/>
  <c r="E136" i="10"/>
  <c r="D136" i="10"/>
  <c r="C136" i="10"/>
  <c r="E129" i="10"/>
  <c r="E137" i="10" s="1"/>
  <c r="D129" i="10"/>
  <c r="D132" i="10" s="1"/>
  <c r="D133" i="10" s="1"/>
  <c r="C129" i="10"/>
  <c r="C132" i="10" s="1"/>
  <c r="C133" i="10" s="1"/>
  <c r="E128" i="10"/>
  <c r="D128" i="10"/>
  <c r="C128" i="10"/>
  <c r="E126" i="10"/>
  <c r="D126" i="10"/>
  <c r="C126" i="10"/>
  <c r="E123" i="10"/>
  <c r="D123" i="10"/>
  <c r="C123" i="10"/>
  <c r="E101" i="10"/>
  <c r="D101" i="10"/>
  <c r="C101" i="10"/>
  <c r="E94" i="10"/>
  <c r="E102" i="10" s="1"/>
  <c r="D94" i="10"/>
  <c r="D102" i="10" s="1"/>
  <c r="C94" i="10"/>
  <c r="C102" i="10" s="1"/>
  <c r="E93" i="10"/>
  <c r="D93" i="10"/>
  <c r="C93" i="10"/>
  <c r="E91" i="10"/>
  <c r="D91" i="10"/>
  <c r="C91" i="10"/>
  <c r="E88" i="10"/>
  <c r="D88" i="10"/>
  <c r="C88" i="10"/>
  <c r="C53" i="10"/>
  <c r="D53" i="10"/>
  <c r="E53" i="10"/>
  <c r="C56" i="10"/>
  <c r="D56" i="10"/>
  <c r="E56" i="10"/>
  <c r="C58" i="10"/>
  <c r="D58" i="10"/>
  <c r="E58" i="10"/>
  <c r="C59" i="10"/>
  <c r="C60" i="10" s="1"/>
  <c r="D59" i="10"/>
  <c r="D62" i="10" s="1"/>
  <c r="D63" i="10" s="1"/>
  <c r="E59" i="10"/>
  <c r="E62" i="10" s="1"/>
  <c r="E63" i="10" s="1"/>
  <c r="C66" i="10"/>
  <c r="D66" i="10"/>
  <c r="E66" i="10"/>
  <c r="D305" i="10" l="1"/>
  <c r="E235" i="10"/>
  <c r="C235" i="10"/>
  <c r="C237" i="10"/>
  <c r="C238" i="10" s="1"/>
  <c r="E130" i="10"/>
  <c r="D137" i="10"/>
  <c r="D139" i="10" s="1"/>
  <c r="D140" i="10" s="1"/>
  <c r="C165" i="10"/>
  <c r="C307" i="10"/>
  <c r="C308" i="10" s="1"/>
  <c r="E165" i="10"/>
  <c r="C167" i="10"/>
  <c r="C168" i="10" s="1"/>
  <c r="E277" i="10"/>
  <c r="E279" i="10" s="1"/>
  <c r="E280" i="10" s="1"/>
  <c r="C130" i="10"/>
  <c r="D95" i="10"/>
  <c r="C97" i="10"/>
  <c r="C98" i="10" s="1"/>
  <c r="E60" i="10"/>
  <c r="C67" i="10"/>
  <c r="C69" i="10" s="1"/>
  <c r="C70" i="10" s="1"/>
  <c r="C62" i="10"/>
  <c r="C63" i="10" s="1"/>
  <c r="C313" i="10"/>
  <c r="C314" i="10"/>
  <c r="C315" i="10" s="1"/>
  <c r="D130" i="10"/>
  <c r="C137" i="10"/>
  <c r="C138" i="10" s="1"/>
  <c r="D165" i="10"/>
  <c r="C174" i="10"/>
  <c r="C175" i="10" s="1"/>
  <c r="D235" i="10"/>
  <c r="D307" i="10"/>
  <c r="D308" i="10" s="1"/>
  <c r="D60" i="10"/>
  <c r="E272" i="10"/>
  <c r="E273" i="10" s="1"/>
  <c r="C340" i="10"/>
  <c r="D67" i="10"/>
  <c r="D68" i="10" s="1"/>
  <c r="E132" i="10"/>
  <c r="E133" i="10" s="1"/>
  <c r="D167" i="10"/>
  <c r="D168" i="10" s="1"/>
  <c r="D340" i="10"/>
  <c r="C95" i="10"/>
  <c r="C305" i="10"/>
  <c r="C342" i="10"/>
  <c r="C343" i="10" s="1"/>
  <c r="E95" i="10"/>
  <c r="D277" i="10"/>
  <c r="D279" i="10" s="1"/>
  <c r="D280" i="10" s="1"/>
  <c r="E305" i="10"/>
  <c r="E349" i="10"/>
  <c r="E350" i="10" s="1"/>
  <c r="E348" i="10"/>
  <c r="D349" i="10"/>
  <c r="D350" i="10" s="1"/>
  <c r="D348" i="10"/>
  <c r="C348" i="10"/>
  <c r="C349" i="10"/>
  <c r="C350" i="10" s="1"/>
  <c r="E340" i="10"/>
  <c r="D342" i="10"/>
  <c r="D343" i="10" s="1"/>
  <c r="E342" i="10"/>
  <c r="E343" i="10" s="1"/>
  <c r="D314" i="10"/>
  <c r="D315" i="10" s="1"/>
  <c r="D313" i="10"/>
  <c r="E314" i="10"/>
  <c r="E315" i="10" s="1"/>
  <c r="E313" i="10"/>
  <c r="E307" i="10"/>
  <c r="E308" i="10" s="1"/>
  <c r="C279" i="10"/>
  <c r="C280" i="10" s="1"/>
  <c r="C278" i="10"/>
  <c r="C270" i="10"/>
  <c r="D270" i="10"/>
  <c r="C272" i="10"/>
  <c r="C273" i="10" s="1"/>
  <c r="E244" i="10"/>
  <c r="E245" i="10" s="1"/>
  <c r="E243" i="10"/>
  <c r="C243" i="10"/>
  <c r="C244" i="10"/>
  <c r="C245" i="10" s="1"/>
  <c r="D243" i="10"/>
  <c r="D244" i="10"/>
  <c r="D245" i="10" s="1"/>
  <c r="D237" i="10"/>
  <c r="D238" i="10" s="1"/>
  <c r="E237" i="10"/>
  <c r="E238" i="10" s="1"/>
  <c r="D173" i="10"/>
  <c r="D174" i="10"/>
  <c r="D175" i="10" s="1"/>
  <c r="E174" i="10"/>
  <c r="E175" i="10" s="1"/>
  <c r="E173" i="10"/>
  <c r="E167" i="10"/>
  <c r="E168" i="10" s="1"/>
  <c r="E139" i="10"/>
  <c r="E140" i="10" s="1"/>
  <c r="E138" i="10"/>
  <c r="E104" i="10"/>
  <c r="E105" i="10" s="1"/>
  <c r="E103" i="10"/>
  <c r="C103" i="10"/>
  <c r="C104" i="10"/>
  <c r="C105" i="10" s="1"/>
  <c r="D104" i="10"/>
  <c r="D105" i="10" s="1"/>
  <c r="D103" i="10"/>
  <c r="D97" i="10"/>
  <c r="D98" i="10" s="1"/>
  <c r="E97" i="10"/>
  <c r="E98" i="10" s="1"/>
  <c r="E67" i="10"/>
  <c r="C18" i="10"/>
  <c r="D138" i="10" l="1"/>
  <c r="D278" i="10"/>
  <c r="C139" i="10"/>
  <c r="C140" i="10" s="1"/>
  <c r="D69" i="10"/>
  <c r="D70" i="10" s="1"/>
  <c r="E278" i="10"/>
  <c r="C68" i="10"/>
  <c r="E69" i="10"/>
  <c r="E70" i="10" s="1"/>
  <c r="E68" i="10"/>
  <c r="D18" i="10"/>
  <c r="D19" i="7" l="1"/>
  <c r="C1" i="4" l="1"/>
  <c r="B9" i="7" s="1"/>
  <c r="B19" i="7"/>
  <c r="C19" i="7"/>
  <c r="C37" i="5"/>
  <c r="C43" i="5" s="1"/>
  <c r="E33" i="5"/>
  <c r="D33" i="5"/>
  <c r="C33" i="5"/>
  <c r="E31" i="5"/>
  <c r="D31" i="5"/>
  <c r="C31" i="5"/>
  <c r="E26" i="5"/>
  <c r="D26" i="5"/>
  <c r="C26" i="5"/>
  <c r="E24" i="5"/>
  <c r="D24" i="5"/>
  <c r="C24" i="5"/>
  <c r="E31" i="13"/>
  <c r="D31" i="13"/>
  <c r="C31" i="13"/>
  <c r="E24" i="13"/>
  <c r="D24" i="13"/>
  <c r="C24" i="13"/>
  <c r="E23" i="13"/>
  <c r="D23" i="13"/>
  <c r="C23" i="13"/>
  <c r="E21" i="13"/>
  <c r="D21" i="13"/>
  <c r="C21" i="13"/>
  <c r="E33" i="12"/>
  <c r="D33" i="12"/>
  <c r="C33" i="12"/>
  <c r="E26" i="12"/>
  <c r="E29" i="12" s="1"/>
  <c r="E30" i="12" s="1"/>
  <c r="D26" i="12"/>
  <c r="D27" i="12" s="1"/>
  <c r="C26" i="12"/>
  <c r="C27" i="12" s="1"/>
  <c r="E25" i="12"/>
  <c r="D25" i="12"/>
  <c r="C25" i="12"/>
  <c r="E23" i="12"/>
  <c r="D23" i="12"/>
  <c r="C23" i="12"/>
  <c r="E19" i="12"/>
  <c r="D19" i="12"/>
  <c r="C19" i="12"/>
  <c r="D29" i="12"/>
  <c r="D30" i="12" s="1"/>
  <c r="E39" i="5"/>
  <c r="D39" i="5"/>
  <c r="C39" i="5"/>
  <c r="E37" i="5"/>
  <c r="D37" i="5"/>
  <c r="C38" i="5"/>
  <c r="E24" i="10"/>
  <c r="E25" i="10" s="1"/>
  <c r="D24" i="10"/>
  <c r="D32" i="10" s="1"/>
  <c r="C24" i="10"/>
  <c r="C25" i="10" s="1"/>
  <c r="E31" i="10"/>
  <c r="D31" i="10"/>
  <c r="C31" i="10"/>
  <c r="E23" i="10"/>
  <c r="D23" i="10"/>
  <c r="C23" i="10"/>
  <c r="E21" i="10"/>
  <c r="D21" i="10"/>
  <c r="C21" i="10"/>
  <c r="E18" i="10"/>
  <c r="C27" i="5"/>
  <c r="C28" i="5" s="1"/>
  <c r="C46" i="5"/>
  <c r="C50" i="5" s="1"/>
  <c r="C51" i="5" s="1"/>
  <c r="E34" i="5"/>
  <c r="E35" i="5" s="1"/>
  <c r="D34" i="5"/>
  <c r="D35" i="5" s="1"/>
  <c r="C34" i="5"/>
  <c r="C35" i="5" s="1"/>
  <c r="E27" i="5"/>
  <c r="E28" i="5" s="1"/>
  <c r="D27" i="5"/>
  <c r="D28" i="5" s="1"/>
  <c r="C23" i="3"/>
  <c r="E23" i="3"/>
  <c r="D23" i="3"/>
  <c r="E22" i="3"/>
  <c r="D22" i="3"/>
  <c r="C22" i="3"/>
  <c r="E195" i="1"/>
  <c r="E198" i="1" s="1"/>
  <c r="E199" i="1" s="1"/>
  <c r="D195" i="1"/>
  <c r="D198" i="1" s="1"/>
  <c r="D199" i="1" s="1"/>
  <c r="C195" i="1"/>
  <c r="C196" i="1" s="1"/>
  <c r="E194" i="1"/>
  <c r="D194" i="1"/>
  <c r="C194" i="1"/>
  <c r="E161" i="1"/>
  <c r="E162" i="1" s="1"/>
  <c r="D161" i="1"/>
  <c r="D164" i="1" s="1"/>
  <c r="D165" i="1" s="1"/>
  <c r="C161" i="1"/>
  <c r="C164" i="1" s="1"/>
  <c r="C165" i="1" s="1"/>
  <c r="E160" i="1"/>
  <c r="D160" i="1"/>
  <c r="C160" i="1"/>
  <c r="E127" i="1"/>
  <c r="E128" i="1" s="1"/>
  <c r="D127" i="1"/>
  <c r="D130" i="1" s="1"/>
  <c r="D131" i="1" s="1"/>
  <c r="C127" i="1"/>
  <c r="C135" i="1" s="1"/>
  <c r="E126" i="1"/>
  <c r="D126" i="1"/>
  <c r="C126" i="1"/>
  <c r="E93" i="1"/>
  <c r="E94" i="1" s="1"/>
  <c r="D93" i="1"/>
  <c r="D96" i="1" s="1"/>
  <c r="D97" i="1" s="1"/>
  <c r="C93" i="1"/>
  <c r="C96" i="1" s="1"/>
  <c r="C97" i="1" s="1"/>
  <c r="E92" i="1"/>
  <c r="D92" i="1"/>
  <c r="C92" i="1"/>
  <c r="E59" i="1"/>
  <c r="E62" i="1" s="1"/>
  <c r="E63" i="1" s="1"/>
  <c r="D59" i="1"/>
  <c r="D67" i="1" s="1"/>
  <c r="C59" i="1"/>
  <c r="C62" i="1" s="1"/>
  <c r="C63" i="1" s="1"/>
  <c r="E58" i="1"/>
  <c r="D58" i="1"/>
  <c r="C58" i="1"/>
  <c r="E25" i="1"/>
  <c r="E28" i="1" s="1"/>
  <c r="E29" i="1" s="1"/>
  <c r="C25" i="1"/>
  <c r="C33" i="1" s="1"/>
  <c r="D25" i="1"/>
  <c r="D28" i="1" s="1"/>
  <c r="D29" i="1" s="1"/>
  <c r="E24" i="1"/>
  <c r="D24" i="1"/>
  <c r="E22" i="1"/>
  <c r="D22" i="1"/>
  <c r="C24" i="1"/>
  <c r="E202" i="1"/>
  <c r="D202" i="1"/>
  <c r="C202" i="1"/>
  <c r="E192" i="1"/>
  <c r="D192" i="1"/>
  <c r="C192" i="1"/>
  <c r="E189" i="1"/>
  <c r="D189" i="1"/>
  <c r="C189" i="1"/>
  <c r="E168" i="1"/>
  <c r="D168" i="1"/>
  <c r="C168" i="1"/>
  <c r="E158" i="1"/>
  <c r="D158" i="1"/>
  <c r="C158" i="1"/>
  <c r="E134" i="1"/>
  <c r="D134" i="1"/>
  <c r="C134" i="1"/>
  <c r="E124" i="1"/>
  <c r="D124" i="1"/>
  <c r="C124" i="1"/>
  <c r="E121" i="1"/>
  <c r="D121" i="1"/>
  <c r="C121" i="1"/>
  <c r="E100" i="1"/>
  <c r="D100" i="1"/>
  <c r="C100" i="1"/>
  <c r="E90" i="1"/>
  <c r="D90" i="1"/>
  <c r="C90" i="1"/>
  <c r="E87" i="1"/>
  <c r="D87" i="1"/>
  <c r="C87" i="1"/>
  <c r="E66" i="1"/>
  <c r="D66" i="1"/>
  <c r="C66" i="1"/>
  <c r="E56" i="1"/>
  <c r="D56" i="1"/>
  <c r="C56" i="1"/>
  <c r="E53" i="1"/>
  <c r="D53" i="1"/>
  <c r="C53" i="1"/>
  <c r="E30" i="3"/>
  <c r="D30" i="3"/>
  <c r="C30" i="3"/>
  <c r="E20" i="3"/>
  <c r="D20" i="3"/>
  <c r="C20" i="3"/>
  <c r="E32" i="1"/>
  <c r="D32" i="1"/>
  <c r="C32" i="1"/>
  <c r="C22" i="1"/>
  <c r="E19" i="1"/>
  <c r="D19" i="1"/>
  <c r="C19" i="1"/>
  <c r="C198" i="1" l="1"/>
  <c r="C199" i="1" s="1"/>
  <c r="D62" i="1"/>
  <c r="D63" i="1" s="1"/>
  <c r="D38" i="5"/>
  <c r="E38" i="5"/>
  <c r="C40" i="5"/>
  <c r="E27" i="10"/>
  <c r="E28" i="10" s="1"/>
  <c r="D40" i="5"/>
  <c r="E40" i="5"/>
  <c r="E196" i="1"/>
  <c r="D135" i="1"/>
  <c r="D137" i="1" s="1"/>
  <c r="D138" i="1" s="1"/>
  <c r="D128" i="1"/>
  <c r="C101" i="1"/>
  <c r="C103" i="1" s="1"/>
  <c r="C104" i="1" s="1"/>
  <c r="C67" i="1"/>
  <c r="C69" i="1" s="1"/>
  <c r="C70" i="1" s="1"/>
  <c r="C60" i="1"/>
  <c r="D60" i="1"/>
  <c r="C94" i="1"/>
  <c r="C24" i="3"/>
  <c r="C26" i="3"/>
  <c r="C27" i="3" s="1"/>
  <c r="C25" i="13"/>
  <c r="C27" i="13"/>
  <c r="C28" i="13" s="1"/>
  <c r="D32" i="13"/>
  <c r="D33" i="13" s="1"/>
  <c r="D27" i="13"/>
  <c r="D28" i="13" s="1"/>
  <c r="E32" i="13"/>
  <c r="E33" i="13" s="1"/>
  <c r="E27" i="13"/>
  <c r="E28" i="13" s="1"/>
  <c r="D94" i="1"/>
  <c r="D101" i="1"/>
  <c r="D103" i="1" s="1"/>
  <c r="D104" i="1" s="1"/>
  <c r="D31" i="3"/>
  <c r="D26" i="3"/>
  <c r="D27" i="3" s="1"/>
  <c r="E32" i="10"/>
  <c r="E33" i="10" s="1"/>
  <c r="D27" i="10"/>
  <c r="D28" i="10" s="1"/>
  <c r="D25" i="10"/>
  <c r="C32" i="10"/>
  <c r="C27" i="10"/>
  <c r="C28" i="10" s="1"/>
  <c r="E24" i="3"/>
  <c r="E26" i="3"/>
  <c r="E27" i="3" s="1"/>
  <c r="D33" i="10"/>
  <c r="D34" i="10"/>
  <c r="D35" i="10" s="1"/>
  <c r="E27" i="12"/>
  <c r="E34" i="12"/>
  <c r="E35" i="12" s="1"/>
  <c r="E203" i="1"/>
  <c r="E204" i="1" s="1"/>
  <c r="E164" i="1"/>
  <c r="E165" i="1" s="1"/>
  <c r="E135" i="1"/>
  <c r="E137" i="1" s="1"/>
  <c r="E138" i="1" s="1"/>
  <c r="E130" i="1"/>
  <c r="E131" i="1" s="1"/>
  <c r="E96" i="1"/>
  <c r="E97" i="1" s="1"/>
  <c r="E101" i="1"/>
  <c r="E60" i="1"/>
  <c r="C68" i="1"/>
  <c r="B12" i="7"/>
  <c r="A12" i="7"/>
  <c r="C162" i="1"/>
  <c r="C34" i="12"/>
  <c r="C35" i="12" s="1"/>
  <c r="D25" i="13"/>
  <c r="C169" i="1"/>
  <c r="C170" i="1" s="1"/>
  <c r="E26" i="1"/>
  <c r="C31" i="3"/>
  <c r="C33" i="3" s="1"/>
  <c r="C34" i="3" s="1"/>
  <c r="E31" i="3"/>
  <c r="E32" i="3" s="1"/>
  <c r="C26" i="1"/>
  <c r="D24" i="3"/>
  <c r="C29" i="12"/>
  <c r="C30" i="12" s="1"/>
  <c r="C47" i="5"/>
  <c r="G356" i="4"/>
  <c r="G45" i="4"/>
  <c r="A55" i="2" s="1"/>
  <c r="G46" i="4"/>
  <c r="A56" i="2" s="1"/>
  <c r="A94" i="7"/>
  <c r="G42" i="4"/>
  <c r="A51" i="2" s="1"/>
  <c r="G43" i="4"/>
  <c r="A52" i="2" s="1"/>
  <c r="G41" i="4"/>
  <c r="A50" i="2" s="1"/>
  <c r="G44" i="4"/>
  <c r="A53" i="2" s="1"/>
  <c r="A433" i="4"/>
  <c r="A456" i="4"/>
  <c r="G142" i="4"/>
  <c r="A97" i="4"/>
  <c r="A305" i="4"/>
  <c r="A173" i="4"/>
  <c r="G305" i="4"/>
  <c r="D33" i="1"/>
  <c r="D34" i="1" s="1"/>
  <c r="C130" i="1"/>
  <c r="C131" i="1" s="1"/>
  <c r="D196" i="1"/>
  <c r="C171" i="1"/>
  <c r="C172" i="1" s="1"/>
  <c r="D26" i="1"/>
  <c r="E33" i="1"/>
  <c r="C203" i="1"/>
  <c r="C32" i="13"/>
  <c r="C33" i="13" s="1"/>
  <c r="D32" i="3"/>
  <c r="D33" i="3"/>
  <c r="D34" i="3" s="1"/>
  <c r="C136" i="1"/>
  <c r="C137" i="1"/>
  <c r="C138" i="1" s="1"/>
  <c r="C34" i="1"/>
  <c r="C35" i="1"/>
  <c r="C36" i="1" s="1"/>
  <c r="D69" i="1"/>
  <c r="D70" i="1" s="1"/>
  <c r="D68" i="1"/>
  <c r="D136" i="1"/>
  <c r="C28" i="1"/>
  <c r="C29" i="1" s="1"/>
  <c r="E67" i="1"/>
  <c r="D34" i="12"/>
  <c r="C128" i="1"/>
  <c r="D162" i="1"/>
  <c r="D203" i="1"/>
  <c r="D169" i="1"/>
  <c r="E169" i="1"/>
  <c r="E25" i="13"/>
  <c r="E36" i="12"/>
  <c r="E37" i="12" s="1"/>
  <c r="G342" i="4"/>
  <c r="A439" i="4"/>
  <c r="A249" i="4"/>
  <c r="A296" i="4"/>
  <c r="G375" i="4"/>
  <c r="A194" i="4"/>
  <c r="A484" i="4"/>
  <c r="A185" i="4"/>
  <c r="G103" i="4"/>
  <c r="A102" i="2" s="1"/>
  <c r="G166" i="4"/>
  <c r="A247" i="4"/>
  <c r="A428" i="4"/>
  <c r="G244" i="4"/>
  <c r="A11" i="4"/>
  <c r="A178" i="1" s="1"/>
  <c r="A146" i="4"/>
  <c r="G31" i="4"/>
  <c r="A38" i="2" s="1"/>
  <c r="A301" i="4"/>
  <c r="A408" i="4"/>
  <c r="A158" i="4"/>
  <c r="A371" i="4"/>
  <c r="G492" i="4"/>
  <c r="A490" i="4"/>
  <c r="A338" i="4"/>
  <c r="G37" i="4"/>
  <c r="A45" i="2" s="1"/>
  <c r="A503" i="4"/>
  <c r="G297" i="4"/>
  <c r="A212" i="4"/>
  <c r="G232" i="4"/>
  <c r="A394" i="4"/>
  <c r="A14" i="4"/>
  <c r="A11" i="5" s="1"/>
  <c r="G100" i="4"/>
  <c r="A99" i="2" s="1"/>
  <c r="A378" i="4"/>
  <c r="G463" i="4"/>
  <c r="G193" i="4"/>
  <c r="G123" i="4"/>
  <c r="A172" i="4"/>
  <c r="A199" i="4"/>
  <c r="G433" i="4"/>
  <c r="A268" i="4"/>
  <c r="A483" i="4"/>
  <c r="G15" i="4"/>
  <c r="A20" i="2" s="1"/>
  <c r="G389" i="4"/>
  <c r="G175" i="4"/>
  <c r="A115" i="4"/>
  <c r="A359" i="4"/>
  <c r="G283" i="4"/>
  <c r="A140" i="4"/>
  <c r="A228" i="4"/>
  <c r="G194" i="4"/>
  <c r="A239" i="4"/>
  <c r="G52" i="4"/>
  <c r="A63" i="2" s="1"/>
  <c r="G206" i="4"/>
  <c r="A499" i="4"/>
  <c r="A465" i="4"/>
  <c r="A167" i="4"/>
  <c r="G78" i="4"/>
  <c r="A80" i="2" s="1"/>
  <c r="G318" i="4"/>
  <c r="A217" i="4"/>
  <c r="G118" i="4"/>
  <c r="A179" i="4"/>
  <c r="A17" i="4"/>
  <c r="A12" i="12" s="1"/>
  <c r="A206" i="4"/>
  <c r="A181" i="4"/>
  <c r="G147" i="4"/>
  <c r="G454" i="4"/>
  <c r="G252" i="4"/>
  <c r="A426" i="4"/>
  <c r="A109" i="4"/>
  <c r="A392" i="4"/>
  <c r="G395" i="4"/>
  <c r="A253" i="4"/>
  <c r="A279" i="4"/>
  <c r="A18" i="4"/>
  <c r="C13" i="3" s="1"/>
  <c r="A285" i="4"/>
  <c r="G215" i="4"/>
  <c r="G448" i="4"/>
  <c r="G242" i="4"/>
  <c r="A164" i="4"/>
  <c r="A139" i="4"/>
  <c r="G62" i="4"/>
  <c r="A107" i="2" s="1"/>
  <c r="A98" i="4"/>
  <c r="A276" i="4"/>
  <c r="G10" i="4"/>
  <c r="A15" i="2" s="1"/>
  <c r="A207" i="4"/>
  <c r="A317" i="4"/>
  <c r="G136" i="4"/>
  <c r="G217" i="4"/>
  <c r="G440" i="4"/>
  <c r="G402" i="4"/>
  <c r="A261" i="4"/>
  <c r="A458" i="4"/>
  <c r="A497" i="4"/>
  <c r="A121" i="4"/>
  <c r="A103" i="4"/>
  <c r="A424" i="4"/>
  <c r="G68" i="4"/>
  <c r="G345" i="4"/>
  <c r="G488" i="4"/>
  <c r="A435" i="4"/>
  <c r="A204" i="4"/>
  <c r="A130" i="4"/>
  <c r="A343" i="4"/>
  <c r="G128" i="4"/>
  <c r="A141" i="4"/>
  <c r="A397" i="4"/>
  <c r="A299" i="4"/>
  <c r="A304" i="4"/>
  <c r="A286" i="4"/>
  <c r="A277" i="4"/>
  <c r="G192" i="4"/>
  <c r="A154" i="4"/>
  <c r="G231" i="4"/>
  <c r="G510" i="4"/>
  <c r="A226" i="4"/>
  <c r="A241" i="4"/>
  <c r="G277" i="4"/>
  <c r="G224" i="4"/>
  <c r="G268" i="4"/>
  <c r="G133" i="4"/>
  <c r="A125" i="4"/>
  <c r="A362" i="4"/>
  <c r="A401" i="4"/>
  <c r="A210" i="4"/>
  <c r="A231" i="4"/>
  <c r="A232" i="4"/>
  <c r="G38" i="4"/>
  <c r="A46" i="2" s="1"/>
  <c r="G527" i="4"/>
  <c r="G210" i="4"/>
  <c r="A117" i="4"/>
  <c r="A417" i="4"/>
  <c r="A258" i="4"/>
  <c r="A200" i="4"/>
  <c r="G247" i="4"/>
  <c r="A415" i="4"/>
  <c r="A108" i="4"/>
  <c r="A420" i="4"/>
  <c r="A492" i="4"/>
  <c r="A105" i="4"/>
  <c r="A293" i="4"/>
  <c r="G76" i="4"/>
  <c r="A78" i="2" s="1"/>
  <c r="A425" i="4"/>
  <c r="G494" i="4"/>
  <c r="G511" i="4"/>
  <c r="A112" i="4"/>
  <c r="G169" i="4"/>
  <c r="G23" i="4"/>
  <c r="A29" i="2" s="1"/>
  <c r="G132" i="4"/>
  <c r="G125" i="4"/>
  <c r="A3" i="4"/>
  <c r="A5" i="1" s="1"/>
  <c r="A431" i="4"/>
  <c r="A300" i="4"/>
  <c r="A369" i="4"/>
  <c r="A242" i="4"/>
  <c r="A295" i="4"/>
  <c r="A168" i="4"/>
  <c r="G58" i="4"/>
  <c r="A115" i="2" s="1"/>
  <c r="G415" i="4"/>
  <c r="G154" i="4"/>
  <c r="A506" i="4"/>
  <c r="A345" i="4"/>
  <c r="A151" i="4"/>
  <c r="A15" i="4"/>
  <c r="C11" i="5" s="1"/>
  <c r="G119" i="4"/>
  <c r="A422" i="4"/>
  <c r="A214" i="4"/>
  <c r="G33" i="4"/>
  <c r="A41" i="2" s="1"/>
  <c r="A259" i="4"/>
  <c r="A405" i="4"/>
  <c r="G348" i="4"/>
  <c r="A384" i="4"/>
  <c r="A386" i="4"/>
  <c r="G456" i="4"/>
  <c r="Q142" i="7"/>
  <c r="A367" i="4"/>
  <c r="A449" i="4"/>
  <c r="A376" i="4"/>
  <c r="G351" i="4"/>
  <c r="A452" i="4"/>
  <c r="A444" i="4"/>
  <c r="A515" i="4"/>
  <c r="A329" i="4"/>
  <c r="G234" i="4"/>
  <c r="G473" i="4"/>
  <c r="G474" i="4"/>
  <c r="G403" i="4"/>
  <c r="A395" i="4"/>
  <c r="A245" i="4"/>
  <c r="A236" i="4"/>
  <c r="A313" i="4"/>
  <c r="A274" i="4"/>
  <c r="A327" i="4"/>
  <c r="G77" i="4"/>
  <c r="A79" i="2" s="1"/>
  <c r="G80" i="4"/>
  <c r="A82" i="2" s="1"/>
  <c r="G303" i="4"/>
  <c r="A459" i="4"/>
  <c r="A410" i="4"/>
  <c r="A281" i="4"/>
  <c r="A183" i="4"/>
  <c r="G54" i="4"/>
  <c r="A65" i="2" s="1"/>
  <c r="G222" i="4"/>
  <c r="A292" i="4"/>
  <c r="A310" i="4"/>
  <c r="G17" i="4"/>
  <c r="A22" i="2" s="1"/>
  <c r="A195" i="4"/>
  <c r="A485" i="4"/>
  <c r="G520" i="4"/>
  <c r="A335" i="4"/>
  <c r="A514" i="4"/>
  <c r="G450" i="4"/>
  <c r="A178" i="4"/>
  <c r="A135" i="4"/>
  <c r="A488" i="4"/>
  <c r="G20" i="4"/>
  <c r="A25" i="2" s="1"/>
  <c r="G29" i="4"/>
  <c r="A36" i="2" s="1"/>
  <c r="G261" i="4"/>
  <c r="G187" i="4"/>
  <c r="G487" i="4"/>
  <c r="A375" i="4"/>
  <c r="A474" i="4"/>
  <c r="A513" i="4"/>
  <c r="A153" i="4"/>
  <c r="A290" i="4"/>
  <c r="A472" i="4"/>
  <c r="G469" i="4"/>
  <c r="G239" i="4"/>
  <c r="G127" i="4"/>
  <c r="A213" i="4"/>
  <c r="A99" i="4"/>
  <c r="A118" i="4"/>
  <c r="A171" i="4"/>
  <c r="A288" i="4"/>
  <c r="A176" i="4"/>
  <c r="A355" i="4"/>
  <c r="A9" i="4"/>
  <c r="A176" i="1" s="1"/>
  <c r="A4" i="4"/>
  <c r="A6" i="1" s="1"/>
  <c r="A366" i="4"/>
  <c r="A475" i="4"/>
  <c r="G366" i="4"/>
  <c r="A120" i="4"/>
  <c r="A127" i="4"/>
  <c r="A473" i="4"/>
  <c r="A237" i="4"/>
  <c r="G256" i="4"/>
  <c r="G320" i="4"/>
  <c r="A219" i="4"/>
  <c r="G512" i="4"/>
  <c r="G323" i="4"/>
  <c r="G316" i="4"/>
  <c r="A133" i="4"/>
  <c r="A442" i="4"/>
  <c r="A481" i="4"/>
  <c r="A8" i="4"/>
  <c r="A142" i="1" s="1"/>
  <c r="A354" i="4"/>
  <c r="A440" i="4"/>
  <c r="G385" i="4"/>
  <c r="G195" i="4"/>
  <c r="A507" i="4"/>
  <c r="A518" i="4"/>
  <c r="A493" i="4"/>
  <c r="A150" i="4"/>
  <c r="A203" i="4"/>
  <c r="A160" i="4"/>
  <c r="A208" i="4"/>
  <c r="A339" i="4"/>
  <c r="A334" i="4"/>
  <c r="A289" i="4"/>
  <c r="A414" i="4"/>
  <c r="G117" i="4"/>
  <c r="G207" i="4"/>
  <c r="A216" i="4"/>
  <c r="A282" i="4"/>
  <c r="A124" i="4"/>
  <c r="A363" i="4"/>
  <c r="G281" i="4"/>
  <c r="G134" i="4"/>
  <c r="G14" i="4"/>
  <c r="A68" i="2" s="1"/>
  <c r="A379" i="4"/>
  <c r="A486" i="4"/>
  <c r="A429" i="4"/>
  <c r="A182" i="4"/>
  <c r="A235" i="4"/>
  <c r="A22" i="4"/>
  <c r="F14" i="12" s="1"/>
  <c r="A272" i="4"/>
  <c r="A291" i="4"/>
  <c r="A318" i="4"/>
  <c r="A353" i="4"/>
  <c r="A446" i="4"/>
  <c r="G181" i="4"/>
  <c r="G114" i="4"/>
  <c r="A4" i="12" s="1"/>
  <c r="A368" i="4"/>
  <c r="A266" i="4"/>
  <c r="A156" i="4"/>
  <c r="G189" i="4"/>
  <c r="G412" i="4"/>
  <c r="G211" i="4"/>
  <c r="Q136" i="7"/>
  <c r="A306" i="4"/>
  <c r="A263" i="4"/>
  <c r="A360" i="4"/>
  <c r="G25" i="4"/>
  <c r="A31" i="2" s="1"/>
  <c r="G513" i="4"/>
  <c r="G176" i="4"/>
  <c r="G167" i="4"/>
  <c r="G106" i="4"/>
  <c r="A5" i="8" s="1"/>
  <c r="A495" i="4"/>
  <c r="A332" i="4"/>
  <c r="A385" i="4"/>
  <c r="A162" i="4"/>
  <c r="A215" i="4"/>
  <c r="A328" i="4"/>
  <c r="G219" i="4"/>
  <c r="G392" i="4"/>
  <c r="A423" i="4"/>
  <c r="A356" i="4"/>
  <c r="A365" i="4"/>
  <c r="A246" i="4"/>
  <c r="A516" i="4"/>
  <c r="G47" i="4"/>
  <c r="A57" i="2" s="1"/>
  <c r="A364" i="4"/>
  <c r="A211" i="4"/>
  <c r="A222" i="4"/>
  <c r="A453" i="4"/>
  <c r="A447" i="4"/>
  <c r="G519" i="4"/>
  <c r="G363" i="4"/>
  <c r="A512" i="4"/>
  <c r="A138" i="4"/>
  <c r="A418" i="4"/>
  <c r="G359" i="4"/>
  <c r="G396" i="4"/>
  <c r="G441" i="4"/>
  <c r="A388" i="4"/>
  <c r="G53" i="4"/>
  <c r="A64" i="2" s="1"/>
  <c r="A240" i="4"/>
  <c r="A460" i="4"/>
  <c r="A227" i="4"/>
  <c r="A350" i="4"/>
  <c r="A190" i="4"/>
  <c r="A373" i="4"/>
  <c r="A308" i="4"/>
  <c r="A511" i="4"/>
  <c r="G138" i="4"/>
  <c r="G311" i="4"/>
  <c r="G246" i="4"/>
  <c r="A152" i="4"/>
  <c r="A255" i="4"/>
  <c r="A234" i="4"/>
  <c r="A441" i="4"/>
  <c r="A498" i="4"/>
  <c r="A491" i="4"/>
  <c r="G270" i="4"/>
  <c r="G116" i="4"/>
  <c r="G432" i="4"/>
  <c r="G258" i="4"/>
  <c r="Q98" i="7"/>
  <c r="G35" i="4"/>
  <c r="A43" i="2" s="1"/>
  <c r="Q190" i="7"/>
  <c r="G104" i="4"/>
  <c r="A103" i="2" s="1"/>
  <c r="G79" i="4"/>
  <c r="A81" i="2" s="1"/>
  <c r="A396" i="4"/>
  <c r="A323" i="4"/>
  <c r="A163" i="4"/>
  <c r="A254" i="4"/>
  <c r="A129" i="4"/>
  <c r="A501" i="4"/>
  <c r="A462" i="4"/>
  <c r="A391" i="4"/>
  <c r="G139" i="4"/>
  <c r="G266" i="4"/>
  <c r="G321" i="4"/>
  <c r="A416" i="4"/>
  <c r="A106" i="4"/>
  <c r="A233" i="4"/>
  <c r="A220" i="4"/>
  <c r="A403" i="4"/>
  <c r="G275" i="4"/>
  <c r="G325" i="4"/>
  <c r="G479" i="4"/>
  <c r="G238" i="4"/>
  <c r="G390" i="4"/>
  <c r="G50" i="4"/>
  <c r="A60" i="2" s="1"/>
  <c r="A107" i="4"/>
  <c r="A412" i="4"/>
  <c r="A307" i="4"/>
  <c r="A131" i="4"/>
  <c r="A238" i="4"/>
  <c r="A193" i="4"/>
  <c r="A116" i="4"/>
  <c r="A494" i="4"/>
  <c r="A205" i="4"/>
  <c r="G264" i="4"/>
  <c r="G378" i="4"/>
  <c r="G405" i="4"/>
  <c r="A496" i="4"/>
  <c r="A5" i="4"/>
  <c r="A40" i="1" s="1"/>
  <c r="A265" i="4"/>
  <c r="A370" i="4"/>
  <c r="A197" i="4"/>
  <c r="G360" i="4"/>
  <c r="G453" i="4"/>
  <c r="G506" i="4"/>
  <c r="G399" i="4"/>
  <c r="A196" i="4"/>
  <c r="G455" i="4"/>
  <c r="G504" i="4"/>
  <c r="G265" i="4"/>
  <c r="G431" i="4"/>
  <c r="G156" i="4"/>
  <c r="G86" i="4"/>
  <c r="A90" i="2" s="1"/>
  <c r="G107" i="4"/>
  <c r="A6" i="8" s="1"/>
  <c r="G150" i="4"/>
  <c r="G196" i="4"/>
  <c r="G289" i="4"/>
  <c r="G16" i="4"/>
  <c r="A21" i="2" s="1"/>
  <c r="G464" i="4"/>
  <c r="Q214" i="7"/>
  <c r="Q9" i="7"/>
  <c r="G152" i="4"/>
  <c r="G414" i="4"/>
  <c r="G282" i="4"/>
  <c r="G48" i="4"/>
  <c r="A58" i="2" s="1"/>
  <c r="G357" i="4"/>
  <c r="G18" i="4"/>
  <c r="A23" i="2" s="1"/>
  <c r="G353" i="4"/>
  <c r="G109" i="4"/>
  <c r="A9" i="8" s="1"/>
  <c r="G326" i="4"/>
  <c r="G471" i="4"/>
  <c r="G486" i="4"/>
  <c r="G40" i="4"/>
  <c r="A49" i="2" s="1"/>
  <c r="G90" i="4"/>
  <c r="A95" i="2" s="1"/>
  <c r="Q103" i="7"/>
  <c r="Q31" i="7"/>
  <c r="Q29" i="7"/>
  <c r="G509" i="4"/>
  <c r="G185" i="4"/>
  <c r="G384" i="4"/>
  <c r="G344" i="4"/>
  <c r="G269" i="4"/>
  <c r="G168" i="4"/>
  <c r="Q54" i="7"/>
  <c r="Q135" i="7"/>
  <c r="Q48" i="7"/>
  <c r="Q117" i="7"/>
  <c r="G24" i="4"/>
  <c r="A30" i="2" s="1"/>
  <c r="G186" i="4"/>
  <c r="G470" i="4"/>
  <c r="G387" i="4"/>
  <c r="G27" i="4"/>
  <c r="A34" i="2" s="1"/>
  <c r="G341" i="4"/>
  <c r="Q59" i="7"/>
  <c r="Q84" i="7"/>
  <c r="Q121" i="7"/>
  <c r="A470" i="4"/>
  <c r="Q86" i="7"/>
  <c r="Q170" i="7"/>
  <c r="Q129" i="7"/>
  <c r="G347" i="4"/>
  <c r="G108" i="4"/>
  <c r="A8" i="8" s="1"/>
  <c r="G408" i="4"/>
  <c r="G377" i="4"/>
  <c r="G468" i="4"/>
  <c r="A438" i="4"/>
  <c r="A123" i="4"/>
  <c r="Q206" i="7"/>
  <c r="Q52" i="7"/>
  <c r="Q196" i="7"/>
  <c r="A322" i="4"/>
  <c r="A311" i="4"/>
  <c r="A264" i="4"/>
  <c r="G213" i="4"/>
  <c r="G419" i="4"/>
  <c r="G391" i="4"/>
  <c r="A229" i="4"/>
  <c r="A454" i="4"/>
  <c r="A19" i="4"/>
  <c r="D48" i="1" s="1"/>
  <c r="A177" i="4"/>
  <c r="A278" i="4"/>
  <c r="A267" i="4"/>
  <c r="A352" i="4"/>
  <c r="G70" i="4"/>
  <c r="A71" i="2" s="1"/>
  <c r="G497" i="4"/>
  <c r="A336" i="4"/>
  <c r="A476" i="4"/>
  <c r="A275" i="4"/>
  <c r="A147" i="4"/>
  <c r="A302" i="4"/>
  <c r="A174" i="4"/>
  <c r="A161" i="4"/>
  <c r="A389" i="4"/>
  <c r="A517" i="4"/>
  <c r="A340" i="4"/>
  <c r="A478" i="4"/>
  <c r="A157" i="4"/>
  <c r="A455" i="4"/>
  <c r="G159" i="4"/>
  <c r="G182" i="4"/>
  <c r="G418" i="4"/>
  <c r="G324" i="4"/>
  <c r="G304" i="4"/>
  <c r="G361" i="4"/>
  <c r="A184" i="4"/>
  <c r="A400" i="4"/>
  <c r="A351" i="4"/>
  <c r="A223" i="4"/>
  <c r="A21" i="4"/>
  <c r="A250" i="4"/>
  <c r="A122" i="4"/>
  <c r="A297" i="4"/>
  <c r="A457" i="4"/>
  <c r="A188" i="4"/>
  <c r="A402" i="4"/>
  <c r="A20" i="4"/>
  <c r="E14" i="13" s="1"/>
  <c r="A467" i="4"/>
  <c r="A427" i="4"/>
  <c r="G274" i="4"/>
  <c r="G446" i="4"/>
  <c r="G376" i="4"/>
  <c r="G198" i="4"/>
  <c r="G409" i="4"/>
  <c r="G129" i="4"/>
  <c r="G499" i="4"/>
  <c r="G121" i="4"/>
  <c r="G250" i="4"/>
  <c r="G11" i="4"/>
  <c r="A16" i="2" s="1"/>
  <c r="G406" i="4"/>
  <c r="G329" i="4"/>
  <c r="G57" i="4"/>
  <c r="A69" i="2" s="1"/>
  <c r="G177" i="4"/>
  <c r="G157" i="4"/>
  <c r="G355" i="4"/>
  <c r="G484" i="4"/>
  <c r="G438" i="4"/>
  <c r="G421" i="4"/>
  <c r="G386" i="4"/>
  <c r="G515" i="4"/>
  <c r="G3" i="4"/>
  <c r="A8" i="2" s="1"/>
  <c r="G528" i="4"/>
  <c r="G306" i="4"/>
  <c r="G131" i="4"/>
  <c r="G99" i="4"/>
  <c r="A98" i="2" s="1"/>
  <c r="G278" i="4"/>
  <c r="G92" i="4"/>
  <c r="Q80" i="7"/>
  <c r="Q230" i="7"/>
  <c r="Q114" i="7"/>
  <c r="Q19" i="7"/>
  <c r="Q184" i="7"/>
  <c r="Q79" i="7"/>
  <c r="Q235" i="7"/>
  <c r="Q25" i="7"/>
  <c r="Q125" i="7"/>
  <c r="A119" i="4"/>
  <c r="A504" i="4"/>
  <c r="A136" i="4"/>
  <c r="G331" i="4"/>
  <c r="G482" i="4"/>
  <c r="G170" i="4"/>
  <c r="A349" i="4"/>
  <c r="A390" i="4"/>
  <c r="A461" i="4"/>
  <c r="A23" i="4"/>
  <c r="A16" i="13" s="1"/>
  <c r="A342" i="4"/>
  <c r="A331" i="4"/>
  <c r="A224" i="4"/>
  <c r="G28" i="4"/>
  <c r="A35" i="2" s="1"/>
  <c r="A144" i="4"/>
  <c r="A380" i="4"/>
  <c r="A508" i="4"/>
  <c r="A243" i="4"/>
  <c r="A110" i="4"/>
  <c r="A270" i="4"/>
  <c r="A142" i="4"/>
  <c r="A225" i="4"/>
  <c r="A421" i="4"/>
  <c r="A148" i="4"/>
  <c r="A382" i="4"/>
  <c r="A510" i="4"/>
  <c r="A387" i="4"/>
  <c r="A333" i="4"/>
  <c r="G220" i="4"/>
  <c r="G350" i="4"/>
  <c r="G163" i="4"/>
  <c r="G436" i="4"/>
  <c r="G416" i="4"/>
  <c r="G449" i="4"/>
  <c r="A248" i="4"/>
  <c r="A432" i="4"/>
  <c r="A319" i="4"/>
  <c r="A191" i="4"/>
  <c r="A346" i="4"/>
  <c r="A218" i="4"/>
  <c r="A16" i="4"/>
  <c r="E11" i="5" s="1"/>
  <c r="A361" i="4"/>
  <c r="A489" i="4"/>
  <c r="A252" i="4"/>
  <c r="A434" i="4"/>
  <c r="A309" i="4"/>
  <c r="A325" i="4"/>
  <c r="G12" i="4"/>
  <c r="A17" i="2" s="1"/>
  <c r="G444" i="4"/>
  <c r="G146" i="4"/>
  <c r="G218" i="4"/>
  <c r="G368" i="4"/>
  <c r="G72" i="4"/>
  <c r="A73" i="2" s="1"/>
  <c r="G171" i="4"/>
  <c r="G151" i="4"/>
  <c r="G227" i="4"/>
  <c r="G308" i="4"/>
  <c r="G180" i="4"/>
  <c r="G491" i="4"/>
  <c r="G373" i="4"/>
  <c r="G338" i="4"/>
  <c r="G296" i="4"/>
  <c r="G236" i="4"/>
  <c r="G202" i="4"/>
  <c r="G164" i="4"/>
  <c r="G523" i="4"/>
  <c r="G489" i="4"/>
  <c r="G110" i="4"/>
  <c r="A10" i="8" s="1"/>
  <c r="G255" i="4"/>
  <c r="G230" i="4"/>
  <c r="G349" i="4"/>
  <c r="A381" i="4"/>
  <c r="A337" i="4"/>
  <c r="A487" i="4"/>
  <c r="G30" i="4"/>
  <c r="A37" i="2" s="1"/>
  <c r="G95" i="4"/>
  <c r="Q128" i="7"/>
  <c r="Q18" i="7"/>
  <c r="Q172" i="7"/>
  <c r="Q62" i="7"/>
  <c r="Q195" i="7"/>
  <c r="Q111" i="7"/>
  <c r="Q204" i="7"/>
  <c r="Q41" i="7"/>
  <c r="Q161" i="7"/>
  <c r="A126" i="4"/>
  <c r="A257" i="4"/>
  <c r="A437" i="4"/>
  <c r="A180" i="4"/>
  <c r="A398" i="4"/>
  <c r="A149" i="4"/>
  <c r="A451" i="4"/>
  <c r="A411" i="4"/>
  <c r="G263" i="4"/>
  <c r="G435" i="4"/>
  <c r="G248" i="4"/>
  <c r="G495" i="4"/>
  <c r="G475" i="4"/>
  <c r="G493" i="4"/>
  <c r="A280" i="4"/>
  <c r="A448" i="4"/>
  <c r="A303" i="4"/>
  <c r="A175" i="4"/>
  <c r="A330" i="4"/>
  <c r="A202" i="4"/>
  <c r="A137" i="4"/>
  <c r="A377" i="4"/>
  <c r="A505" i="4"/>
  <c r="A284" i="4"/>
  <c r="A450" i="4"/>
  <c r="A399" i="4"/>
  <c r="A407" i="4"/>
  <c r="G122" i="4"/>
  <c r="G13" i="4"/>
  <c r="A18" i="2" s="1"/>
  <c r="G204" i="4"/>
  <c r="G271" i="4"/>
  <c r="G427" i="4"/>
  <c r="G56" i="4"/>
  <c r="A67" i="2" s="1"/>
  <c r="G200" i="4"/>
  <c r="G173" i="4"/>
  <c r="G280" i="4"/>
  <c r="G335" i="4"/>
  <c r="G203" i="4"/>
  <c r="G518" i="4"/>
  <c r="G393" i="4"/>
  <c r="G380" i="4"/>
  <c r="G339" i="4"/>
  <c r="G290" i="4"/>
  <c r="G228" i="4"/>
  <c r="G184" i="4"/>
  <c r="G209" i="4"/>
  <c r="G101" i="4"/>
  <c r="A100" i="2" s="1"/>
  <c r="G137" i="4"/>
  <c r="G276" i="4"/>
  <c r="G251" i="4"/>
  <c r="G397" i="4"/>
  <c r="A145" i="4"/>
  <c r="A134" i="4"/>
  <c r="A166" i="4"/>
  <c r="A445" i="4"/>
  <c r="G59" i="4"/>
  <c r="A104" i="2" s="1"/>
  <c r="Q134" i="7"/>
  <c r="Q28" i="7"/>
  <c r="Q178" i="7"/>
  <c r="Q67" i="7"/>
  <c r="Q210" i="7"/>
  <c r="Q122" i="7"/>
  <c r="Q228" i="7"/>
  <c r="Q61" i="7"/>
  <c r="Q233" i="7"/>
  <c r="A312" i="4"/>
  <c r="A464" i="4"/>
  <c r="A287" i="4"/>
  <c r="A159" i="4"/>
  <c r="A314" i="4"/>
  <c r="A186" i="4"/>
  <c r="A169" i="4"/>
  <c r="A393" i="4"/>
  <c r="A10" i="4"/>
  <c r="A41" i="1" s="1"/>
  <c r="A316" i="4"/>
  <c r="A466" i="4"/>
  <c r="A463" i="4"/>
  <c r="A471" i="4"/>
  <c r="G143" i="4"/>
  <c r="G145" i="4"/>
  <c r="G322" i="4"/>
  <c r="G388" i="4"/>
  <c r="G197" i="4"/>
  <c r="G284" i="4"/>
  <c r="G286" i="4"/>
  <c r="G279" i="4"/>
  <c r="G334" i="4"/>
  <c r="G394" i="4"/>
  <c r="G262" i="4"/>
  <c r="G201" i="4"/>
  <c r="G437" i="4"/>
  <c r="G466" i="4"/>
  <c r="G382" i="4"/>
  <c r="G460" i="4"/>
  <c r="G314" i="4"/>
  <c r="G214" i="4"/>
  <c r="G273" i="4"/>
  <c r="G4" i="4"/>
  <c r="A9" i="2" s="1"/>
  <c r="G179" i="4"/>
  <c r="G362" i="4"/>
  <c r="G315" i="4"/>
  <c r="G413" i="4"/>
  <c r="A155" i="4"/>
  <c r="G51" i="4"/>
  <c r="A62" i="2" s="1"/>
  <c r="G34" i="4"/>
  <c r="A42" i="2" s="1"/>
  <c r="G7" i="4"/>
  <c r="A12" i="2" s="1"/>
  <c r="Q6" i="7"/>
  <c r="Q144" i="7"/>
  <c r="Q51" i="7"/>
  <c r="Q199" i="7"/>
  <c r="Q94" i="7"/>
  <c r="Q4" i="7"/>
  <c r="Q159" i="7"/>
  <c r="Q232" i="7"/>
  <c r="Q73" i="7"/>
  <c r="A113" i="4"/>
  <c r="A321" i="4"/>
  <c r="A469" i="4"/>
  <c r="A244" i="4"/>
  <c r="A430" i="4"/>
  <c r="A383" i="4"/>
  <c r="A165" i="4"/>
  <c r="A7" i="4"/>
  <c r="A108" i="1" s="1"/>
  <c r="G434" i="4"/>
  <c r="G141" i="4"/>
  <c r="G483" i="4"/>
  <c r="G148" i="4"/>
  <c r="G233" i="4"/>
  <c r="G81" i="4"/>
  <c r="A94" i="2" s="1"/>
  <c r="A344" i="4"/>
  <c r="A480" i="4"/>
  <c r="A271" i="4"/>
  <c r="A143" i="4"/>
  <c r="A298" i="4"/>
  <c r="A170" i="4"/>
  <c r="A201" i="4"/>
  <c r="A409" i="4"/>
  <c r="A111" i="4"/>
  <c r="A348" i="4"/>
  <c r="A482" i="4"/>
  <c r="A189" i="4"/>
  <c r="A104" i="4"/>
  <c r="G165" i="4"/>
  <c r="G190" i="4"/>
  <c r="G439" i="4"/>
  <c r="G442" i="4"/>
  <c r="G241" i="4"/>
  <c r="G327" i="4"/>
  <c r="G328" i="4"/>
  <c r="G332" i="4"/>
  <c r="G398" i="4"/>
  <c r="G420" i="4"/>
  <c r="G288" i="4"/>
  <c r="G225" i="4"/>
  <c r="G457" i="4"/>
  <c r="G508" i="4"/>
  <c r="G424" i="4"/>
  <c r="G126" i="4"/>
  <c r="G346" i="4"/>
  <c r="G240" i="4"/>
  <c r="G293" i="4"/>
  <c r="G178" i="4"/>
  <c r="G216" i="4"/>
  <c r="G404" i="4"/>
  <c r="G358" i="4"/>
  <c r="G445" i="4"/>
  <c r="G61" i="4"/>
  <c r="A106" i="2" s="1"/>
  <c r="G73" i="4"/>
  <c r="A74" i="2" s="1"/>
  <c r="G476" i="4"/>
  <c r="G8" i="4"/>
  <c r="A13" i="2" s="1"/>
  <c r="Q49" i="7"/>
  <c r="Q160" i="7"/>
  <c r="Q60" i="7"/>
  <c r="Q239" i="7"/>
  <c r="Q110" i="7"/>
  <c r="Q20" i="7"/>
  <c r="Q164" i="7"/>
  <c r="Q236" i="7"/>
  <c r="Q85" i="7"/>
  <c r="A79" i="4"/>
  <c r="A50" i="5" s="1"/>
  <c r="X4" i="7"/>
  <c r="A89" i="4"/>
  <c r="A18" i="12" s="1"/>
  <c r="Q169" i="7"/>
  <c r="A114" i="4"/>
  <c r="A80" i="4"/>
  <c r="A52" i="5" s="1"/>
  <c r="Q185" i="7"/>
  <c r="Q193" i="7"/>
  <c r="Q217" i="7"/>
  <c r="Q221" i="7"/>
  <c r="A88" i="4"/>
  <c r="A6" i="12" s="1"/>
  <c r="A67" i="4"/>
  <c r="A29" i="5" s="1"/>
  <c r="B6" i="7"/>
  <c r="A96" i="4"/>
  <c r="A91" i="4"/>
  <c r="A20" i="12" s="1"/>
  <c r="A88" i="7"/>
  <c r="A70" i="4"/>
  <c r="A34" i="5" s="1"/>
  <c r="A73" i="4"/>
  <c r="A39" i="5" s="1"/>
  <c r="G330" i="4"/>
  <c r="G310" i="4"/>
  <c r="G369" i="4"/>
  <c r="G370" i="4"/>
  <c r="G243" i="4"/>
  <c r="G130" i="4"/>
  <c r="G503" i="4"/>
  <c r="G451" i="4"/>
  <c r="G367" i="4"/>
  <c r="G160" i="4"/>
  <c r="G374" i="4"/>
  <c r="G245" i="4"/>
  <c r="G417" i="4"/>
  <c r="G295" i="4"/>
  <c r="G155" i="4"/>
  <c r="G467" i="4"/>
  <c r="G407" i="4"/>
  <c r="G526" i="4"/>
  <c r="G458" i="4"/>
  <c r="G299" i="4"/>
  <c r="G249" i="4"/>
  <c r="G465" i="4"/>
  <c r="G343" i="4"/>
  <c r="G302" i="4"/>
  <c r="G298" i="4"/>
  <c r="G172" i="4"/>
  <c r="G507" i="4"/>
  <c r="G36" i="4"/>
  <c r="A44" i="2" s="1"/>
  <c r="A102" i="4"/>
  <c r="A477" i="4"/>
  <c r="A479" i="4"/>
  <c r="A357" i="4"/>
  <c r="A294" i="4"/>
  <c r="G96" i="4"/>
  <c r="Q64" i="7"/>
  <c r="Q171" i="7"/>
  <c r="Q44" i="7"/>
  <c r="Q156" i="7"/>
  <c r="Q8" i="7"/>
  <c r="Q120" i="7"/>
  <c r="Q242" i="7"/>
  <c r="Q95" i="7"/>
  <c r="Q219" i="7"/>
  <c r="Q244" i="7"/>
  <c r="Q65" i="7"/>
  <c r="Q149" i="7"/>
  <c r="Q225" i="7"/>
  <c r="A82" i="4"/>
  <c r="A24" i="4"/>
  <c r="A187" i="1" s="1"/>
  <c r="A9" i="7"/>
  <c r="G500" i="4"/>
  <c r="G480" i="4"/>
  <c r="G505" i="4"/>
  <c r="G498" i="4"/>
  <c r="G371" i="4"/>
  <c r="G226" i="4"/>
  <c r="G174" i="4"/>
  <c r="G223" i="4"/>
  <c r="G452" i="4"/>
  <c r="G235" i="4"/>
  <c r="G459" i="4"/>
  <c r="G309" i="4"/>
  <c r="G485" i="4"/>
  <c r="G423" i="4"/>
  <c r="G254" i="4"/>
  <c r="G135" i="4"/>
  <c r="G153" i="4"/>
  <c r="G260" i="4"/>
  <c r="G120" i="4"/>
  <c r="G411" i="4"/>
  <c r="G313" i="4"/>
  <c r="G67" i="4"/>
  <c r="A112" i="2" s="1"/>
  <c r="G514" i="4"/>
  <c r="G430" i="4"/>
  <c r="G447" i="4"/>
  <c r="G294" i="4"/>
  <c r="G317" i="4"/>
  <c r="G502" i="4"/>
  <c r="G39" i="4"/>
  <c r="A48" i="2" s="1"/>
  <c r="A256" i="4"/>
  <c r="G292" i="4"/>
  <c r="G19" i="4"/>
  <c r="A24" i="2" s="1"/>
  <c r="G6" i="4"/>
  <c r="A11" i="2" s="1"/>
  <c r="G64" i="4"/>
  <c r="A109" i="2" s="1"/>
  <c r="Q102" i="7"/>
  <c r="Q222" i="7"/>
  <c r="Q92" i="7"/>
  <c r="Q183" i="7"/>
  <c r="Q56" i="7"/>
  <c r="Q152" i="7"/>
  <c r="Q26" i="7"/>
  <c r="Q154" i="7"/>
  <c r="Q21" i="7"/>
  <c r="Q93" i="7"/>
  <c r="Q181" i="7"/>
  <c r="X5" i="7"/>
  <c r="A86" i="4"/>
  <c r="B8" i="12" s="1"/>
  <c r="A92" i="7"/>
  <c r="G340" i="4"/>
  <c r="G140" i="4"/>
  <c r="G336" i="4"/>
  <c r="G221" i="4"/>
  <c r="G429" i="4"/>
  <c r="G478" i="4"/>
  <c r="A230" i="4"/>
  <c r="G410" i="4"/>
  <c r="A187" i="4"/>
  <c r="G162" i="4"/>
  <c r="A273" i="4"/>
  <c r="A209" i="4"/>
  <c r="G364" i="4"/>
  <c r="G87" i="4"/>
  <c r="A91" i="2" s="1"/>
  <c r="G89" i="4"/>
  <c r="A93" i="2" s="1"/>
  <c r="Q32" i="7"/>
  <c r="Q91" i="7"/>
  <c r="Q166" i="7"/>
  <c r="Q55" i="7"/>
  <c r="Q130" i="7"/>
  <c r="Q188" i="7"/>
  <c r="Q14" i="7"/>
  <c r="Q78" i="7"/>
  <c r="Q147" i="7"/>
  <c r="Q234" i="7"/>
  <c r="Q36" i="7"/>
  <c r="Q116" i="7"/>
  <c r="Q180" i="7"/>
  <c r="Q200" i="7"/>
  <c r="Q33" i="7"/>
  <c r="Q89" i="7"/>
  <c r="Q137" i="7"/>
  <c r="Q189" i="7"/>
  <c r="A95" i="4"/>
  <c r="A36" i="12" s="1"/>
  <c r="A75" i="4"/>
  <c r="A42" i="5" s="1"/>
  <c r="A78" i="4"/>
  <c r="A48" i="5" s="1"/>
  <c r="A81" i="4"/>
  <c r="A54" i="5" s="1"/>
  <c r="A76" i="4"/>
  <c r="A44" i="5" s="1"/>
  <c r="A6" i="7"/>
  <c r="B7" i="7"/>
  <c r="A78" i="7"/>
  <c r="A82" i="7"/>
  <c r="A68" i="4"/>
  <c r="A30" i="5" s="1"/>
  <c r="A10" i="7"/>
  <c r="B11" i="7"/>
  <c r="A83" i="7"/>
  <c r="G400" i="4"/>
  <c r="G285" i="4"/>
  <c r="G477" i="4"/>
  <c r="A443" i="4"/>
  <c r="A320" i="4"/>
  <c r="G307" i="4"/>
  <c r="A6" i="4"/>
  <c r="A74" i="1" s="1"/>
  <c r="A413" i="4"/>
  <c r="A101" i="4"/>
  <c r="G75" i="4"/>
  <c r="A77" i="2" s="1"/>
  <c r="A404" i="4"/>
  <c r="G83" i="4"/>
  <c r="A87" i="2" s="1"/>
  <c r="G93" i="4"/>
  <c r="Q75" i="7"/>
  <c r="Q118" i="7"/>
  <c r="Q176" i="7"/>
  <c r="Q7" i="7"/>
  <c r="Q71" i="7"/>
  <c r="Q140" i="7"/>
  <c r="Q223" i="7"/>
  <c r="Q24" i="7"/>
  <c r="Q99" i="7"/>
  <c r="Q163" i="7"/>
  <c r="Q68" i="7"/>
  <c r="Q127" i="7"/>
  <c r="Q203" i="7"/>
  <c r="Q212" i="7"/>
  <c r="Q53" i="7"/>
  <c r="Q97" i="7"/>
  <c r="Q153" i="7"/>
  <c r="Q201" i="7"/>
  <c r="A55" i="4"/>
  <c r="A6" i="5" s="1"/>
  <c r="A58" i="4"/>
  <c r="B9" i="5" s="1"/>
  <c r="A61" i="4"/>
  <c r="A20" i="5" s="1"/>
  <c r="A56" i="4"/>
  <c r="B7" i="5" s="1"/>
  <c r="B8" i="7"/>
  <c r="A89" i="7"/>
  <c r="G191" i="4"/>
  <c r="G426" i="4"/>
  <c r="G188" i="4"/>
  <c r="G422" i="4"/>
  <c r="G301" i="4"/>
  <c r="G98" i="4"/>
  <c r="A97" i="2" s="1"/>
  <c r="A100" i="4"/>
  <c r="G55" i="4"/>
  <c r="A66" i="2" s="1"/>
  <c r="A269" i="4"/>
  <c r="G74" i="4"/>
  <c r="A76" i="2" s="1"/>
  <c r="A372" i="4"/>
  <c r="A347" i="4"/>
  <c r="G71" i="4"/>
  <c r="A72" i="2" s="1"/>
  <c r="A13" i="4"/>
  <c r="A10" i="12" s="1"/>
  <c r="G82" i="4"/>
  <c r="A86" i="2" s="1"/>
  <c r="G63" i="4"/>
  <c r="A108" i="2" s="1"/>
  <c r="Q16" i="7"/>
  <c r="Q123" i="7"/>
  <c r="Q187" i="7"/>
  <c r="Q12" i="7"/>
  <c r="Q87" i="7"/>
  <c r="Q146" i="7"/>
  <c r="Q231" i="7"/>
  <c r="Q35" i="7"/>
  <c r="Q104" i="7"/>
  <c r="Q179" i="7"/>
  <c r="Q74" i="7"/>
  <c r="Q138" i="7"/>
  <c r="Q211" i="7"/>
  <c r="Q224" i="7"/>
  <c r="Q57" i="7"/>
  <c r="Q105" i="7"/>
  <c r="Q157" i="7"/>
  <c r="Q213" i="7"/>
  <c r="A46" i="4"/>
  <c r="A27" i="13" s="1"/>
  <c r="A49" i="4"/>
  <c r="A38" i="12" s="1"/>
  <c r="A52" i="4"/>
  <c r="A47" i="4"/>
  <c r="A31" i="12" s="1"/>
  <c r="A11" i="7"/>
  <c r="A91" i="7"/>
  <c r="A42" i="4"/>
  <c r="A21" i="12" s="1"/>
  <c r="A45" i="4"/>
  <c r="A26" i="12" s="1"/>
  <c r="A48" i="4"/>
  <c r="A43" i="4"/>
  <c r="A22" i="12" s="1"/>
  <c r="B14" i="7"/>
  <c r="A80" i="7"/>
  <c r="A33" i="4"/>
  <c r="A31" i="1" s="1"/>
  <c r="A36" i="4"/>
  <c r="A40" i="4"/>
  <c r="B7" i="3" s="1"/>
  <c r="A34" i="4"/>
  <c r="A101" i="1" s="1"/>
  <c r="A8" i="7"/>
  <c r="A75" i="7"/>
  <c r="A90" i="7"/>
  <c r="G354" i="4"/>
  <c r="G291" i="4"/>
  <c r="G287" i="4"/>
  <c r="G516" i="4"/>
  <c r="G267" i="4"/>
  <c r="G496" i="4"/>
  <c r="G337" i="4"/>
  <c r="G517" i="4"/>
  <c r="G300" i="4"/>
  <c r="G158" i="4"/>
  <c r="G472" i="4"/>
  <c r="G319" i="4"/>
  <c r="G490" i="4"/>
  <c r="G208" i="4"/>
  <c r="G379" i="4"/>
  <c r="G205" i="4"/>
  <c r="G333" i="4"/>
  <c r="G461" i="4"/>
  <c r="G21" i="4"/>
  <c r="A341" i="4"/>
  <c r="A358" i="4"/>
  <c r="G5" i="4"/>
  <c r="A10" i="2" s="1"/>
  <c r="G199" i="4"/>
  <c r="A262" i="4"/>
  <c r="G26" i="4"/>
  <c r="A32" i="2" s="1"/>
  <c r="A324" i="4"/>
  <c r="G161" i="4"/>
  <c r="A192" i="4"/>
  <c r="A198" i="4"/>
  <c r="A374" i="4"/>
  <c r="G22" i="4"/>
  <c r="A28" i="2" s="1"/>
  <c r="G525" i="4"/>
  <c r="G85" i="4"/>
  <c r="A89" i="2" s="1"/>
  <c r="G94" i="4"/>
  <c r="Q27" i="7"/>
  <c r="Q38" i="7"/>
  <c r="Q96" i="7"/>
  <c r="Q139" i="7"/>
  <c r="Q182" i="7"/>
  <c r="Q238" i="7"/>
  <c r="Q23" i="7"/>
  <c r="Q66" i="7"/>
  <c r="Q108" i="7"/>
  <c r="Q151" i="7"/>
  <c r="Q194" i="7"/>
  <c r="Q30" i="7"/>
  <c r="Q72" i="7"/>
  <c r="Q115" i="7"/>
  <c r="Q158" i="7"/>
  <c r="Q202" i="7"/>
  <c r="Q42" i="7"/>
  <c r="Q90" i="7"/>
  <c r="Q132" i="7"/>
  <c r="Q175" i="7"/>
  <c r="Q227" i="7"/>
  <c r="Q208" i="7"/>
  <c r="Q240" i="7"/>
  <c r="Q5" i="7"/>
  <c r="Q37" i="7"/>
  <c r="Q69" i="7"/>
  <c r="Q101" i="7"/>
  <c r="Q133" i="7"/>
  <c r="Q165" i="7"/>
  <c r="Q197" i="7"/>
  <c r="Q229" i="7"/>
  <c r="A71" i="4"/>
  <c r="A36" i="5" s="1"/>
  <c r="A37" i="4"/>
  <c r="A74" i="4"/>
  <c r="A41" i="5" s="1"/>
  <c r="A41" i="4"/>
  <c r="B8" i="3" s="1"/>
  <c r="A77" i="4"/>
  <c r="A46" i="5" s="1"/>
  <c r="A44" i="4"/>
  <c r="A24" i="12" s="1"/>
  <c r="A72" i="4"/>
  <c r="A37" i="5" s="1"/>
  <c r="A39" i="4"/>
  <c r="A6" i="3" s="1"/>
  <c r="A15" i="7"/>
  <c r="A13" i="7"/>
  <c r="B16" i="7"/>
  <c r="A87" i="7"/>
  <c r="A16" i="7"/>
  <c r="A93" i="7"/>
  <c r="G237" i="4"/>
  <c r="G365" i="4"/>
  <c r="G501" i="4"/>
  <c r="G522" i="4"/>
  <c r="A260" i="4"/>
  <c r="A283" i="4"/>
  <c r="G529" i="4"/>
  <c r="A419" i="4"/>
  <c r="A315" i="4"/>
  <c r="G32" i="4"/>
  <c r="A39" i="2" s="1"/>
  <c r="A326" i="4"/>
  <c r="A502" i="4"/>
  <c r="G257" i="4"/>
  <c r="A500" i="4"/>
  <c r="G69" i="4"/>
  <c r="G60" i="4"/>
  <c r="A105" i="2" s="1"/>
  <c r="G102" i="4"/>
  <c r="A101" i="2" s="1"/>
  <c r="G88" i="4"/>
  <c r="A92" i="2" s="1"/>
  <c r="G65" i="4"/>
  <c r="A110" i="2" s="1"/>
  <c r="Q70" i="7"/>
  <c r="Q22" i="7"/>
  <c r="Q107" i="7"/>
  <c r="Q150" i="7"/>
  <c r="Q192" i="7"/>
  <c r="Q34" i="7"/>
  <c r="Q76" i="7"/>
  <c r="Q119" i="7"/>
  <c r="Q162" i="7"/>
  <c r="Q207" i="7"/>
  <c r="Q40" i="7"/>
  <c r="Q83" i="7"/>
  <c r="Q126" i="7"/>
  <c r="Q168" i="7"/>
  <c r="Q218" i="7"/>
  <c r="Q10" i="7"/>
  <c r="Q58" i="7"/>
  <c r="Q100" i="7"/>
  <c r="Q143" i="7"/>
  <c r="Q186" i="7"/>
  <c r="Q243" i="7"/>
  <c r="Q216" i="7"/>
  <c r="Q13" i="7"/>
  <c r="Q45" i="7"/>
  <c r="Q77" i="7"/>
  <c r="Q109" i="7"/>
  <c r="Q141" i="7"/>
  <c r="Q173" i="7"/>
  <c r="Q205" i="7"/>
  <c r="Q237" i="7"/>
  <c r="A93" i="4"/>
  <c r="A32" i="12" s="1"/>
  <c r="A63" i="4"/>
  <c r="A22" i="5" s="1"/>
  <c r="A29" i="4"/>
  <c r="A93" i="1" s="1"/>
  <c r="A66" i="4"/>
  <c r="A27" i="5" s="1"/>
  <c r="A32" i="4"/>
  <c r="A132" i="1" s="1"/>
  <c r="A69" i="4"/>
  <c r="A32" i="5" s="1"/>
  <c r="A35" i="4"/>
  <c r="A103" i="1" s="1"/>
  <c r="A64" i="4"/>
  <c r="A23" i="5" s="1"/>
  <c r="A30" i="4"/>
  <c r="A163" i="1" s="1"/>
  <c r="B13" i="7"/>
  <c r="B10" i="7"/>
  <c r="A79" i="7"/>
  <c r="A77" i="7"/>
  <c r="G84" i="4"/>
  <c r="A88" i="2" s="1"/>
  <c r="G524" i="4"/>
  <c r="G462" i="4"/>
  <c r="G372" i="4"/>
  <c r="G144" i="4"/>
  <c r="G352" i="4"/>
  <c r="G229" i="4"/>
  <c r="G401" i="4"/>
  <c r="G49" i="4"/>
  <c r="A59" i="2" s="1"/>
  <c r="G428" i="4"/>
  <c r="G259" i="4"/>
  <c r="G212" i="4"/>
  <c r="G383" i="4"/>
  <c r="G124" i="4"/>
  <c r="G272" i="4"/>
  <c r="G443" i="4"/>
  <c r="G253" i="4"/>
  <c r="G381" i="4"/>
  <c r="G521" i="4"/>
  <c r="G312" i="4"/>
  <c r="A509" i="4"/>
  <c r="A468" i="4"/>
  <c r="G425" i="4"/>
  <c r="A406" i="4"/>
  <c r="A436" i="4"/>
  <c r="G481" i="4"/>
  <c r="A251" i="4"/>
  <c r="A132" i="4"/>
  <c r="G183" i="4"/>
  <c r="A128" i="4"/>
  <c r="G149" i="4"/>
  <c r="A221" i="4"/>
  <c r="G112" i="4"/>
  <c r="G91" i="4"/>
  <c r="G66" i="4"/>
  <c r="A111" i="2" s="1"/>
  <c r="Q11" i="7"/>
  <c r="Q43" i="7"/>
  <c r="Q112" i="7"/>
  <c r="Q155" i="7"/>
  <c r="Q198" i="7"/>
  <c r="Q39" i="7"/>
  <c r="Q82" i="7"/>
  <c r="Q124" i="7"/>
  <c r="Q167" i="7"/>
  <c r="Q215" i="7"/>
  <c r="Q3" i="7"/>
  <c r="Q46" i="7"/>
  <c r="Q88" i="7"/>
  <c r="Q131" i="7"/>
  <c r="Q174" i="7"/>
  <c r="Q226" i="7"/>
  <c r="Q15" i="7"/>
  <c r="Q63" i="7"/>
  <c r="Q106" i="7"/>
  <c r="Q148" i="7"/>
  <c r="Q191" i="7"/>
  <c r="Q220" i="7"/>
  <c r="Q17" i="7"/>
  <c r="Q50" i="7"/>
  <c r="Q81" i="7"/>
  <c r="Q113" i="7"/>
  <c r="Q145" i="7"/>
  <c r="Q177" i="7"/>
  <c r="Q209" i="7"/>
  <c r="Q241" i="7"/>
  <c r="G97" i="4"/>
  <c r="A96" i="2" s="1"/>
  <c r="A94" i="4"/>
  <c r="A34" i="12" s="1"/>
  <c r="A27" i="4"/>
  <c r="A21" i="1" s="1"/>
  <c r="A59" i="4"/>
  <c r="A25" i="4"/>
  <c r="A188" i="1" s="1"/>
  <c r="A62" i="4"/>
  <c r="A21" i="5" s="1"/>
  <c r="A28" i="4"/>
  <c r="A23" i="1" s="1"/>
  <c r="A65" i="4"/>
  <c r="A25" i="5" s="1"/>
  <c r="A31" i="4"/>
  <c r="A164" i="1" s="1"/>
  <c r="A60" i="4"/>
  <c r="A26" i="4"/>
  <c r="A122" i="1" s="1"/>
  <c r="A7" i="7"/>
  <c r="B15" i="7"/>
  <c r="A86" i="7"/>
  <c r="A81" i="7"/>
  <c r="X3" i="7"/>
  <c r="A12" i="4"/>
  <c r="A111" i="1" s="1"/>
  <c r="A92" i="4"/>
  <c r="A29" i="12" s="1"/>
  <c r="A83" i="4"/>
  <c r="A50" i="4"/>
  <c r="A87" i="4"/>
  <c r="B9" i="12" s="1"/>
  <c r="A53" i="4"/>
  <c r="A6" i="13" s="1"/>
  <c r="A90" i="4"/>
  <c r="A19" i="12" s="1"/>
  <c r="A57" i="4"/>
  <c r="B8" i="5" s="1"/>
  <c r="A85" i="4"/>
  <c r="B7" i="12" s="1"/>
  <c r="A51" i="4"/>
  <c r="A14" i="7"/>
  <c r="A76" i="7"/>
  <c r="D34" i="13" l="1"/>
  <c r="D35" i="13" s="1"/>
  <c r="A18" i="5"/>
  <c r="A19" i="5"/>
  <c r="B252" i="10"/>
  <c r="B8" i="13"/>
  <c r="B217" i="10"/>
  <c r="B7" i="13"/>
  <c r="B216" i="10"/>
  <c r="C48" i="5"/>
  <c r="C45" i="5"/>
  <c r="E46" i="5"/>
  <c r="E43" i="5"/>
  <c r="E45" i="5"/>
  <c r="E48" i="5"/>
  <c r="C102" i="1"/>
  <c r="D46" i="5"/>
  <c r="D43" i="5"/>
  <c r="D45" i="5"/>
  <c r="D48" i="5"/>
  <c r="E34" i="13"/>
  <c r="E35" i="13" s="1"/>
  <c r="D102" i="1"/>
  <c r="F316" i="10"/>
  <c r="F246" i="10"/>
  <c r="F281" i="10"/>
  <c r="F176" i="10"/>
  <c r="F211" i="10"/>
  <c r="F106" i="10"/>
  <c r="F141" i="10"/>
  <c r="F36" i="10"/>
  <c r="F71" i="10"/>
  <c r="F1" i="10"/>
  <c r="E34" i="10"/>
  <c r="E35" i="10" s="1"/>
  <c r="C34" i="10"/>
  <c r="C35" i="10" s="1"/>
  <c r="C33" i="10"/>
  <c r="E33" i="3"/>
  <c r="E34" i="3" s="1"/>
  <c r="E205" i="1"/>
  <c r="E206" i="1" s="1"/>
  <c r="E136" i="1"/>
  <c r="E103" i="1"/>
  <c r="E104" i="1" s="1"/>
  <c r="E102" i="1"/>
  <c r="D35" i="1"/>
  <c r="D36" i="1" s="1"/>
  <c r="B8" i="1"/>
  <c r="C36" i="12"/>
  <c r="C37" i="12" s="1"/>
  <c r="D15" i="12"/>
  <c r="A85" i="2"/>
  <c r="A26" i="2"/>
  <c r="A40" i="2"/>
  <c r="C32" i="3"/>
  <c r="A83" i="2"/>
  <c r="A54" i="2"/>
  <c r="A27" i="2"/>
  <c r="A42" i="1"/>
  <c r="A10" i="3"/>
  <c r="A110" i="1"/>
  <c r="A8" i="13"/>
  <c r="A11" i="13"/>
  <c r="A45" i="1"/>
  <c r="A8" i="3"/>
  <c r="A11" i="12"/>
  <c r="A144" i="1"/>
  <c r="A79" i="1"/>
  <c r="A181" i="1"/>
  <c r="A76" i="1"/>
  <c r="A8" i="1"/>
  <c r="A147" i="1"/>
  <c r="A8" i="12"/>
  <c r="A113" i="1"/>
  <c r="A11" i="1"/>
  <c r="A8" i="5"/>
  <c r="A182" i="1"/>
  <c r="A12" i="5"/>
  <c r="E34" i="1"/>
  <c r="E35" i="1"/>
  <c r="E36" i="1" s="1"/>
  <c r="C205" i="1"/>
  <c r="C206" i="1" s="1"/>
  <c r="C204" i="1"/>
  <c r="C34" i="13"/>
  <c r="C35" i="13" s="1"/>
  <c r="A70" i="2"/>
  <c r="D204" i="1"/>
  <c r="D205" i="1"/>
  <c r="D206" i="1" s="1"/>
  <c r="E69" i="1"/>
  <c r="E70" i="1" s="1"/>
  <c r="E68" i="1"/>
  <c r="A61" i="2"/>
  <c r="E79" i="1"/>
  <c r="A75" i="2"/>
  <c r="E14" i="1"/>
  <c r="E14" i="5"/>
  <c r="A175" i="1"/>
  <c r="D170" i="1"/>
  <c r="D171" i="1"/>
  <c r="D172" i="1" s="1"/>
  <c r="E48" i="1"/>
  <c r="D35" i="12"/>
  <c r="D36" i="12"/>
  <c r="D37" i="12" s="1"/>
  <c r="B9" i="8"/>
  <c r="E11" i="1"/>
  <c r="E150" i="1"/>
  <c r="A19" i="2"/>
  <c r="A12" i="1"/>
  <c r="A33" i="2"/>
  <c r="A47" i="2"/>
  <c r="E45" i="1"/>
  <c r="E171" i="1"/>
  <c r="E172" i="1" s="1"/>
  <c r="E170" i="1"/>
  <c r="A16" i="12"/>
  <c r="A152" i="1"/>
  <c r="A141" i="1"/>
  <c r="A5" i="12"/>
  <c r="A12" i="13"/>
  <c r="E147" i="1"/>
  <c r="E10" i="3"/>
  <c r="A5" i="5"/>
  <c r="A148" i="1"/>
  <c r="E82" i="1"/>
  <c r="E11" i="12"/>
  <c r="A73" i="1"/>
  <c r="A46" i="1"/>
  <c r="E184" i="1"/>
  <c r="A80" i="1"/>
  <c r="E14" i="12"/>
  <c r="E181" i="1"/>
  <c r="E116" i="1"/>
  <c r="E13" i="3"/>
  <c r="E11" i="13"/>
  <c r="E113" i="1"/>
  <c r="A5" i="13"/>
  <c r="A114" i="1"/>
  <c r="A39" i="1"/>
  <c r="A107" i="1"/>
  <c r="A11" i="3"/>
  <c r="C14" i="1"/>
  <c r="C184" i="1"/>
  <c r="C150" i="1"/>
  <c r="C48" i="1"/>
  <c r="A4" i="5"/>
  <c r="C82" i="1"/>
  <c r="C14" i="12"/>
  <c r="C116" i="1"/>
  <c r="C14" i="13"/>
  <c r="C14" i="5"/>
  <c r="C11" i="12"/>
  <c r="C113" i="1"/>
  <c r="F14" i="5"/>
  <c r="F116" i="1"/>
  <c r="F82" i="1"/>
  <c r="F48" i="1"/>
  <c r="C11" i="13"/>
  <c r="C45" i="1"/>
  <c r="F13" i="3"/>
  <c r="C147" i="1"/>
  <c r="C79" i="1"/>
  <c r="F14" i="13"/>
  <c r="C11" i="1"/>
  <c r="F150" i="1"/>
  <c r="F14" i="1"/>
  <c r="C10" i="3"/>
  <c r="C181" i="1"/>
  <c r="F184" i="1"/>
  <c r="F1" i="5"/>
  <c r="G1" i="2"/>
  <c r="F1" i="1"/>
  <c r="A4" i="13"/>
  <c r="A4" i="3"/>
  <c r="F1" i="13"/>
  <c r="A4" i="1"/>
  <c r="F1" i="12"/>
  <c r="A109" i="1"/>
  <c r="F1" i="3"/>
  <c r="A7" i="3"/>
  <c r="A143" i="1"/>
  <c r="A75" i="1"/>
  <c r="A7" i="12"/>
  <c r="A7" i="1"/>
  <c r="A7" i="5"/>
  <c r="A114" i="2"/>
  <c r="A84" i="2"/>
  <c r="A7" i="13"/>
  <c r="A177" i="1"/>
  <c r="A15" i="3"/>
  <c r="A16" i="1"/>
  <c r="A118" i="1"/>
  <c r="E14" i="3"/>
  <c r="D14" i="3"/>
  <c r="A186" i="1"/>
  <c r="A50" i="1"/>
  <c r="A16" i="5"/>
  <c r="C15" i="12"/>
  <c r="E15" i="12"/>
  <c r="C14" i="3"/>
  <c r="A84" i="1"/>
  <c r="D14" i="1"/>
  <c r="D184" i="1"/>
  <c r="D116" i="1"/>
  <c r="D13" i="3"/>
  <c r="D14" i="12"/>
  <c r="D14" i="13"/>
  <c r="D14" i="5"/>
  <c r="D82" i="1"/>
  <c r="D150" i="1"/>
  <c r="A119" i="1"/>
  <c r="A17" i="13"/>
  <c r="A51" i="1"/>
  <c r="A153" i="1"/>
  <c r="A28" i="3"/>
  <c r="A85" i="1"/>
  <c r="A16" i="3"/>
  <c r="A31" i="3"/>
  <c r="A135" i="1"/>
  <c r="A17" i="1"/>
  <c r="A17" i="5"/>
  <c r="A17" i="12"/>
  <c r="A95" i="1"/>
  <c r="A61" i="1"/>
  <c r="A28" i="12"/>
  <c r="A26" i="13"/>
  <c r="A27" i="1"/>
  <c r="A169" i="1"/>
  <c r="A32" i="13"/>
  <c r="A67" i="1"/>
  <c r="A203" i="1"/>
  <c r="A129" i="1"/>
  <c r="A197" i="1"/>
  <c r="A25" i="3"/>
  <c r="A78" i="1"/>
  <c r="A18" i="1"/>
  <c r="A24" i="13"/>
  <c r="A29" i="13"/>
  <c r="B144" i="1"/>
  <c r="A88" i="1"/>
  <c r="A23" i="3"/>
  <c r="A30" i="1"/>
  <c r="A18" i="3"/>
  <c r="A43" i="1"/>
  <c r="A166" i="1"/>
  <c r="A19" i="13"/>
  <c r="A64" i="1"/>
  <c r="A98" i="1"/>
  <c r="A201" i="1"/>
  <c r="A133" i="1"/>
  <c r="A200" i="1"/>
  <c r="A29" i="3"/>
  <c r="A52" i="1"/>
  <c r="A33" i="1"/>
  <c r="A65" i="1"/>
  <c r="A17" i="3"/>
  <c r="A77" i="1"/>
  <c r="A146" i="1"/>
  <c r="A137" i="1"/>
  <c r="B178" i="1"/>
  <c r="A44" i="1"/>
  <c r="A10" i="5"/>
  <c r="A190" i="1"/>
  <c r="A205" i="1"/>
  <c r="A69" i="1"/>
  <c r="A112" i="1"/>
  <c r="A35" i="1"/>
  <c r="A10" i="1"/>
  <c r="A26" i="3"/>
  <c r="A9" i="3"/>
  <c r="A180" i="1"/>
  <c r="B42" i="1"/>
  <c r="A10" i="13"/>
  <c r="A171" i="1"/>
  <c r="A91" i="1"/>
  <c r="A125" i="1"/>
  <c r="A19" i="3"/>
  <c r="A159" i="1"/>
  <c r="A193" i="1"/>
  <c r="A35" i="3"/>
  <c r="A36" i="13"/>
  <c r="A20" i="13"/>
  <c r="A57" i="1"/>
  <c r="A59" i="1"/>
  <c r="A179" i="1"/>
  <c r="A198" i="1"/>
  <c r="A99" i="1"/>
  <c r="A33" i="3"/>
  <c r="A34" i="13"/>
  <c r="A28" i="1"/>
  <c r="A145" i="1"/>
  <c r="A62" i="1"/>
  <c r="A30" i="13"/>
  <c r="A9" i="5"/>
  <c r="A167" i="1"/>
  <c r="A130" i="1"/>
  <c r="A157" i="1"/>
  <c r="A191" i="1"/>
  <c r="B76" i="1"/>
  <c r="A113" i="2"/>
  <c r="A9" i="1"/>
  <c r="A25" i="1"/>
  <c r="A195" i="1"/>
  <c r="A18" i="13"/>
  <c r="A22" i="13"/>
  <c r="A89" i="1"/>
  <c r="A123" i="1"/>
  <c r="A96" i="1"/>
  <c r="A9" i="13"/>
  <c r="B110" i="1"/>
  <c r="A127" i="1"/>
  <c r="A154" i="1"/>
  <c r="A20" i="1"/>
  <c r="A9" i="12"/>
  <c r="A86" i="1"/>
  <c r="A120" i="1"/>
  <c r="A161" i="1"/>
  <c r="A21" i="3"/>
  <c r="A55" i="1"/>
  <c r="A54" i="1"/>
  <c r="A156" i="1"/>
  <c r="C155" i="1"/>
  <c r="E155" i="1"/>
  <c r="D155" i="1"/>
  <c r="D50" i="5" l="1"/>
  <c r="D51" i="5" s="1"/>
  <c r="D47" i="5"/>
  <c r="E52" i="5"/>
  <c r="E53" i="5" s="1"/>
  <c r="E49" i="5"/>
  <c r="D52" i="5"/>
  <c r="D53" i="5" s="1"/>
  <c r="D49" i="5"/>
  <c r="E47" i="5"/>
  <c r="E50" i="5"/>
  <c r="E51" i="5" s="1"/>
  <c r="C49" i="5"/>
  <c r="C52" i="5"/>
  <c r="C53" i="5" s="1"/>
  <c r="D209" i="10"/>
  <c r="D210" i="10" s="1"/>
  <c r="E202" i="10"/>
  <c r="E203" i="10" s="1"/>
  <c r="D202" i="10"/>
  <c r="D203" i="10" s="1"/>
  <c r="C209" i="10"/>
  <c r="C210" i="10" s="1"/>
  <c r="C200" i="10"/>
  <c r="C193" i="10"/>
  <c r="C208" i="10"/>
  <c r="C198" i="10"/>
  <c r="C206" i="10"/>
  <c r="D206" i="10"/>
  <c r="D198" i="10"/>
  <c r="D208" i="10"/>
  <c r="D200" i="10"/>
  <c r="D196" i="10"/>
  <c r="D193" i="10"/>
  <c r="E209" i="10"/>
  <c r="E210" i="10" s="1"/>
  <c r="E208" i="10"/>
  <c r="E206" i="10"/>
  <c r="E200" i="10"/>
  <c r="E198" i="10"/>
  <c r="E196" i="10"/>
  <c r="E193" i="10"/>
  <c r="C196" i="10"/>
  <c r="C202" i="10"/>
  <c r="C20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Sonia Arias</author>
  </authors>
  <commentList>
    <comment ref="D27" authorId="0" shapeId="0" xr:uid="{00000000-0006-0000-0900-000001000000}">
      <text>
        <r>
          <rPr>
            <b/>
            <sz val="9"/>
            <color indexed="81"/>
            <rFont val="Tahoma"/>
            <family val="2"/>
          </rPr>
          <t>Sonia Arias:</t>
        </r>
        <r>
          <rPr>
            <sz val="9"/>
            <color indexed="81"/>
            <rFont val="Tahoma"/>
            <family val="2"/>
          </rPr>
          <t xml:space="preserve">
C1, C2 and C changes using plural for consistency with cell D26</t>
        </r>
      </text>
    </comment>
  </commentList>
</comments>
</file>

<file path=xl/sharedStrings.xml><?xml version="1.0" encoding="utf-8"?>
<sst xmlns="http://schemas.openxmlformats.org/spreadsheetml/2006/main" count="2324" uniqueCount="1249">
  <si>
    <t>HIV/AIDS</t>
  </si>
  <si>
    <t>Selected coverage indicator</t>
  </si>
  <si>
    <t>Year 1</t>
  </si>
  <si>
    <t>Year 2</t>
  </si>
  <si>
    <t>Year 3</t>
  </si>
  <si>
    <t>Insert year</t>
  </si>
  <si>
    <t>Current Estimated Country Need</t>
  </si>
  <si>
    <t>#</t>
  </si>
  <si>
    <t>Country need already covered</t>
  </si>
  <si>
    <t>Programmatic Gap</t>
  </si>
  <si>
    <t>Year</t>
  </si>
  <si>
    <t>Data source</t>
  </si>
  <si>
    <t>Comments</t>
  </si>
  <si>
    <t>Current national coverage</t>
  </si>
  <si>
    <t>Insert latest results</t>
  </si>
  <si>
    <t>%</t>
  </si>
  <si>
    <t>HIV/AIDS Programmatic Gap Table 2 (Per Priority Intervention)</t>
  </si>
  <si>
    <t>HIV/AIDS Programmatic Gap Table 3 (Per Priority Intervention)</t>
  </si>
  <si>
    <t>HIV/AIDS Programmatic Gap Table 4 (Per Priority Intervention)</t>
  </si>
  <si>
    <t>HIV/AIDS Programmatic Gap Table 6 (Per Priority Intervention)</t>
  </si>
  <si>
    <t>Male Circumcision</t>
  </si>
  <si>
    <t>HIV/AIDS Programmatic Gap Table 1 (Per Priority Intervention)</t>
  </si>
  <si>
    <t>Language</t>
  </si>
  <si>
    <t>English</t>
  </si>
  <si>
    <r>
      <rPr>
        <b/>
        <u/>
        <sz val="11"/>
        <rFont val="Arial"/>
        <family val="2"/>
      </rPr>
      <t>English</t>
    </r>
    <r>
      <rPr>
        <b/>
        <sz val="11"/>
        <rFont val="Arial"/>
        <family val="2"/>
      </rPr>
      <t xml:space="preserve">: </t>
    </r>
    <r>
      <rPr>
        <sz val="11"/>
        <rFont val="Arial"/>
        <family val="2"/>
      </rPr>
      <t>Choose the language in the Instructions tab (líne B6)</t>
    </r>
  </si>
  <si>
    <t>Spanish</t>
  </si>
  <si>
    <t>Instructions</t>
  </si>
  <si>
    <t>Label</t>
  </si>
  <si>
    <t>French</t>
  </si>
  <si>
    <t>HIV/AIDS Programmatic Gap Table 5 (Per Priority Intervention)</t>
  </si>
  <si>
    <t>Priority Module</t>
  </si>
  <si>
    <t>Comments / Assumptions</t>
  </si>
  <si>
    <t>A. Total estimated population in need/at risk</t>
  </si>
  <si>
    <t>B. Country targets 
(from National Strategic Plan)</t>
  </si>
  <si>
    <t>E. Targets to be financed by allocation amount</t>
  </si>
  <si>
    <t>Programmatic Gap:
The programmatic gap is calculated based on total need (row A).</t>
  </si>
  <si>
    <t>Estimated population in need/at risk:
It refers to the estimated number of HIV-positive pregnant women.</t>
  </si>
  <si>
    <t>Comments/Assumptions:
1) Specify the target area.
2) Specify who are the other sources of funding.</t>
  </si>
  <si>
    <t>Programmatic Gap:
The programmatic gap is calculated based on total need (row A)</t>
  </si>
  <si>
    <t>Comments/Assumptions:
1) Specify the target area
2) Specify who are the other sources of funding</t>
  </si>
  <si>
    <t xml:space="preserve">Comments/Assumptions:
1) Specify the target area
2) Specify who are the other sources of funding
3)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t>
  </si>
  <si>
    <t>Estimated population in need/ at risk: 
Refers to the estimated number of men eligible for male circumcision</t>
  </si>
  <si>
    <t>Programmatic Gap:
The programmatic gap is calculated based on the country target (row B)</t>
  </si>
  <si>
    <t xml:space="preserve">Comments/Assumptions:
1) Specify the target area
2) Specify who are the other sources of funding
3) Along with the country targets, in the comments column, specify the proportion of men that are circumcised (current and targeted coverage, which would include the cumulative number of men circumcised) based on surveys or program data available. </t>
  </si>
  <si>
    <t>VIH/SIDA</t>
  </si>
  <si>
    <t>Country target already covered</t>
  </si>
  <si>
    <t>Indicador de cobertura seleccionado</t>
  </si>
  <si>
    <t xml:space="preserve">Cobertura nacional actual </t>
  </si>
  <si>
    <t>Inserte los últimos resultados</t>
  </si>
  <si>
    <t>Año</t>
  </si>
  <si>
    <t>Año 1</t>
  </si>
  <si>
    <t>Año 2</t>
  </si>
  <si>
    <t>Año 3</t>
  </si>
  <si>
    <t>Fuente de datos</t>
  </si>
  <si>
    <t>Comentarios</t>
  </si>
  <si>
    <t>Comentarios /supuestos</t>
  </si>
  <si>
    <t>Necesidades estimadas actuales del país</t>
  </si>
  <si>
    <t>Necesidades del país ya cubiertas</t>
  </si>
  <si>
    <t>Circuncisión Masculina</t>
  </si>
  <si>
    <t xml:space="preserve">INSTRUCTIONS - HIV priority modules </t>
  </si>
  <si>
    <t>Población estimada con necesidades/en riesgo:
Se refiere al número estimado de mujeres embarazadas seropositivas.</t>
  </si>
  <si>
    <t>Comentarios/supuestos:
1) Especifique el área objetivo.
2) Especifique cuáles son las otras fuentes de financiamiento.</t>
  </si>
  <si>
    <t xml:space="preserve">Indicador de cobertura: porcentaje de usuarios de drogas inyectables que reciben terapia de sustitución con opiáceos. </t>
  </si>
  <si>
    <t>PTMI</t>
  </si>
  <si>
    <t>PMTCT</t>
  </si>
  <si>
    <t xml:space="preserve">Estimated population in need/ at risk:
Refers to estimated number of PWID </t>
  </si>
  <si>
    <t>A1. Total male condoms needed</t>
  </si>
  <si>
    <t>A2. Total female condoms needed</t>
  </si>
  <si>
    <t>B1. Country targets- male condoms
(from National Strategic Plan)</t>
  </si>
  <si>
    <t>B2. Country targets- female condoms
(from National Strategic Plan)</t>
  </si>
  <si>
    <t>E1. Targets to be financed by allocation amount- male condoms</t>
  </si>
  <si>
    <t>E2. Targets to be financed by allocation amount- female condoms</t>
  </si>
  <si>
    <t xml:space="preserve">Carefully read the instructions in the "Instructions" tab before completing the programmatic gap analysis table. 
The instructions have been tailored to each specific module/intervention. </t>
  </si>
  <si>
    <t>C1. Country need planned to be covered by domestic resources</t>
  </si>
  <si>
    <t>C2. Country need planned to be covered by external resources</t>
  </si>
  <si>
    <t>Country Need Covered with the Allocation Amount</t>
  </si>
  <si>
    <t>E. Targets to be financed by funding request allocation amount</t>
  </si>
  <si>
    <t xml:space="preserve">G. Remaining gap: A - F </t>
  </si>
  <si>
    <t xml:space="preserve">G. Remaining gap: B - F </t>
  </si>
  <si>
    <t>Component</t>
  </si>
  <si>
    <t>Applicant Type</t>
  </si>
  <si>
    <t>F1. Coverage from allocation amount and other resources- male condoms:
 E1 + C4</t>
  </si>
  <si>
    <t>F2. Coverage from allocation amount and other resources- female condoms:
 E2 + C5</t>
  </si>
  <si>
    <t>Percentage of HIV-positive pregnant women who receive antiretrovirals to reduce the risk of mother-to-child transmission</t>
  </si>
  <si>
    <t>Proportion of HIV positive new and relapse TB patients on ART during TB treatment</t>
  </si>
  <si>
    <t>Percentage of Key Populations reached with prevention programs- defined package of services</t>
  </si>
  <si>
    <t xml:space="preserve">Percentage of PWID reached with needle and syringe programs </t>
  </si>
  <si>
    <t xml:space="preserve">Percentage of PWID on opioid substitution therapy </t>
  </si>
  <si>
    <t>customized</t>
  </si>
  <si>
    <t>Key Pop</t>
  </si>
  <si>
    <t>Please select…</t>
  </si>
  <si>
    <t>Modules</t>
  </si>
  <si>
    <t xml:space="preserve"> </t>
  </si>
  <si>
    <t>Relevant Population</t>
  </si>
  <si>
    <t>*will need corresponding translated tables with proper naming convention for drop-down cascade to work</t>
  </si>
  <si>
    <t>pregnant women</t>
  </si>
  <si>
    <t>*tables will need to reflect translations</t>
  </si>
  <si>
    <t>TB.HIV collaborative interventions_TB screening among HIV patients</t>
  </si>
  <si>
    <t>TB.HIV collaborative interventions_TB patients with known HIV status</t>
  </si>
  <si>
    <t>TB.HIV collaborative interventions_HIV positive TB patients on ART</t>
  </si>
  <si>
    <t>Prevention programs for key populations_defined package of services</t>
  </si>
  <si>
    <t>other vulnerable populations - please specify in the comments</t>
  </si>
  <si>
    <t>Prevention programs for PWID and their partners_Needle and syringe distribution</t>
  </si>
  <si>
    <t>Please read the Instructions sheet carefully before completing the programmatic gap tables.</t>
  </si>
  <si>
    <t>To complete this cover sheet, select from the drop-down lists the Geography and Applicant Type.</t>
  </si>
  <si>
    <t>"HIV Tables" Tab</t>
  </si>
  <si>
    <t>"Condom gap tables" tab</t>
  </si>
  <si>
    <t>"Male circumcision gap table" Tab</t>
  </si>
  <si>
    <t>sex workers and their clients</t>
  </si>
  <si>
    <t xml:space="preserve">Number of medical male circumcisions performed </t>
  </si>
  <si>
    <t>Applicant</t>
  </si>
  <si>
    <t>Prevention programs for PWID and their partners_ OST and other drug dependence treatment for PWIDs</t>
  </si>
  <si>
    <t>Prevention programs for PWID and their partners_OST and other drug dependence treatment for PWIDs</t>
  </si>
  <si>
    <t>Percentage of people living with HIV currently receiving antiretroviral therapy</t>
  </si>
  <si>
    <r>
      <t xml:space="preserve">Number of condoms </t>
    </r>
    <r>
      <rPr>
        <sz val="11"/>
        <color theme="9" tint="-0.249977111117893"/>
        <rFont val="Calibri"/>
        <family val="2"/>
        <scheme val="minor"/>
      </rPr>
      <t xml:space="preserve">and lubricants </t>
    </r>
    <r>
      <rPr>
        <sz val="11"/>
        <color theme="1"/>
        <rFont val="Calibri"/>
        <family val="2"/>
        <scheme val="minor"/>
      </rPr>
      <t>distributed (male and female)</t>
    </r>
  </si>
  <si>
    <t xml:space="preserve">Percentage of the key population that have received an HIV test during the reporting period and who know their results </t>
  </si>
  <si>
    <t>Number of condoms and lubricants distributed (male and female)</t>
  </si>
  <si>
    <t>Target Population</t>
  </si>
  <si>
    <t>Geography</t>
  </si>
  <si>
    <t>Please select your geography…</t>
  </si>
  <si>
    <t>Afghanistan</t>
  </si>
  <si>
    <t>Albania</t>
  </si>
  <si>
    <t>Algeria</t>
  </si>
  <si>
    <t>Andorra</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</si>
  <si>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</si>
  <si>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</si>
  <si>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</si>
  <si>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</si>
  <si>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</si>
  <si>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</si>
  <si>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</si>
  <si>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</si>
  <si>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</si>
  <si>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</si>
  <si>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</si>
  <si>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</si>
  <si>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</si>
  <si>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</si>
  <si>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</si>
  <si>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</si>
  <si>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Bhutan</t>
  </si>
  <si>
    <t>Bolivia (Plurinational State)</t>
  </si>
  <si>
    <t>Bosnia and Herzegovina</t>
  </si>
  <si>
    <t>Botswana</t>
  </si>
  <si>
    <t>Brazil</t>
  </si>
  <si>
    <t>Brunei Darussalam</t>
  </si>
  <si>
    <t>Bulgaria</t>
  </si>
  <si>
    <t>Burkina Faso</t>
  </si>
  <si>
    <t>Burundi</t>
  </si>
  <si>
    <t>Cambodia</t>
  </si>
  <si>
    <t>Cameroon</t>
  </si>
  <si>
    <t>Canada</t>
  </si>
  <si>
    <t>Central African Republic</t>
  </si>
  <si>
    <t>Chile</t>
  </si>
  <si>
    <t>China</t>
  </si>
  <si>
    <t>Colombia</t>
  </si>
  <si>
    <t>Comoros</t>
  </si>
  <si>
    <t>Congo</t>
  </si>
  <si>
    <t>Congo (Democratic Republic)</t>
  </si>
  <si>
    <t>Cook Islands</t>
  </si>
  <si>
    <t>Costa Rica</t>
  </si>
  <si>
    <t>Côte d'Ivoire</t>
  </si>
  <si>
    <t>Croatia</t>
  </si>
  <si>
    <t>Cuba</t>
  </si>
  <si>
    <t>Cyprus</t>
  </si>
  <si>
    <t>Denmark</t>
  </si>
  <si>
    <t>Djibouti</t>
  </si>
  <si>
    <t>Dominica</t>
  </si>
  <si>
    <t>Dominican Republic</t>
  </si>
  <si>
    <t>Ecuador</t>
  </si>
  <si>
    <t>Egypt</t>
  </si>
  <si>
    <t>El Salvador</t>
  </si>
  <si>
    <t>Equatorial Guinea</t>
  </si>
  <si>
    <t>Eritrea</t>
  </si>
  <si>
    <t>Estonia</t>
  </si>
  <si>
    <t>Ethiopia</t>
  </si>
  <si>
    <t>Faeroe Islands</t>
  </si>
  <si>
    <t>Fiji</t>
  </si>
  <si>
    <t>Finland</t>
  </si>
  <si>
    <t>France</t>
  </si>
  <si>
    <t>Gabon</t>
  </si>
  <si>
    <t>Gambia</t>
  </si>
  <si>
    <t>Georgia</t>
  </si>
  <si>
    <t>Germany</t>
  </si>
  <si>
    <t>Ghana</t>
  </si>
  <si>
    <t>Greece</t>
  </si>
  <si>
    <t>Greenland</t>
  </si>
  <si>
    <t>Grenada</t>
  </si>
  <si>
    <t>Guatemala</t>
  </si>
  <si>
    <t>Guinea</t>
  </si>
  <si>
    <t>Guinea-Bissau</t>
  </si>
  <si>
    <t>Guyana</t>
  </si>
  <si>
    <t>Haiti</t>
  </si>
  <si>
    <t>Holy See</t>
  </si>
  <si>
    <t>Honduras</t>
  </si>
  <si>
    <t>Hungary</t>
  </si>
  <si>
    <t>Iceland</t>
  </si>
  <si>
    <t>India</t>
  </si>
  <si>
    <t>Indonesia</t>
  </si>
  <si>
    <t>Iran (Islamic Republic)</t>
  </si>
  <si>
    <t>Iraq</t>
  </si>
  <si>
    <t>Ireland</t>
  </si>
  <si>
    <t>Israel</t>
  </si>
  <si>
    <t>Italy</t>
  </si>
  <si>
    <t>Jamaica</t>
  </si>
  <si>
    <t>Japan</t>
  </si>
  <si>
    <t>Jordan</t>
  </si>
  <si>
    <t>Kazakhstan</t>
  </si>
  <si>
    <t>Kenya</t>
  </si>
  <si>
    <t>Kiribati</t>
  </si>
  <si>
    <t>Korea (Democratic Peoples Republic)</t>
  </si>
  <si>
    <t>Kosovo</t>
  </si>
  <si>
    <t>Kuwait</t>
  </si>
  <si>
    <t>Kyrgyzstan</t>
  </si>
  <si>
    <t>Lao (Peoples Democratic Republic)</t>
  </si>
  <si>
    <t>Latvia</t>
  </si>
  <si>
    <t>Lebanon</t>
  </si>
  <si>
    <t>Lesotho</t>
  </si>
  <si>
    <t>Liberia</t>
  </si>
  <si>
    <t>Liechtenstein</t>
  </si>
  <si>
    <t>Lithuania</t>
  </si>
  <si>
    <t>Luxembourg</t>
  </si>
  <si>
    <t>Madagascar</t>
  </si>
  <si>
    <t>Malawi</t>
  </si>
  <si>
    <t>Malaysia</t>
  </si>
  <si>
    <t>Maldives</t>
  </si>
  <si>
    <t>Mali</t>
  </si>
  <si>
    <t>Malta</t>
  </si>
  <si>
    <t>Marshall Islands</t>
  </si>
  <si>
    <t>Mauritania</t>
  </si>
  <si>
    <t>Mauritius</t>
  </si>
  <si>
    <t>Mexico</t>
  </si>
  <si>
    <t>Micronesia (Federated States)</t>
  </si>
  <si>
    <t>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</si>
  <si>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</si>
  <si>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</si>
  <si>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</si>
  <si>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</si>
  <si>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</si>
  <si>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</si>
  <si>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</si>
  <si>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</si>
  <si>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</si>
  <si>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</si>
  <si>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</si>
  <si>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</si>
  <si>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</si>
  <si>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</si>
  <si>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</si>
  <si>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</si>
  <si>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</si>
  <si>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</si>
  <si>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</si>
  <si>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</si>
  <si>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</si>
  <si>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</si>
  <si>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</si>
  <si>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</si>
  <si>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</si>
  <si>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</si>
  <si>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</si>
  <si>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</si>
  <si>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</si>
  <si>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</si>
  <si>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</si>
  <si>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</si>
  <si>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</si>
  <si>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</si>
  <si>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</si>
  <si>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</si>
  <si>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</si>
  <si>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</si>
  <si>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</si>
  <si>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</si>
  <si>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</si>
  <si>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</si>
  <si>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</si>
  <si>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</si>
  <si>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</si>
  <si>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</si>
  <si>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</si>
  <si>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</si>
  <si>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</si>
  <si>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</si>
  <si>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</si>
  <si>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</si>
  <si>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</si>
  <si>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</si>
  <si>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Syrian Arab Republic</t>
  </si>
  <si>
    <t>Taiwan</t>
  </si>
  <si>
    <t>Tajikistan</t>
  </si>
  <si>
    <t>Tanzania (United Republic)</t>
  </si>
  <si>
    <t>Thailand</t>
  </si>
  <si>
    <t>Timor-Leste</t>
  </si>
  <si>
    <t>Togo</t>
  </si>
  <si>
    <t>Tokelau</t>
  </si>
  <si>
    <t>Tonga</t>
  </si>
  <si>
    <t>Trinidad and Tobago</t>
  </si>
  <si>
    <t>Tunisia</t>
  </si>
  <si>
    <t>Turkey</t>
  </si>
  <si>
    <t>Turkmenistan</t>
  </si>
  <si>
    <t>Tuvalu</t>
  </si>
  <si>
    <t>Uganda</t>
  </si>
  <si>
    <t>Ukraine</t>
  </si>
  <si>
    <t>United Arab Emirates</t>
  </si>
  <si>
    <t>United Kingdom</t>
  </si>
  <si>
    <t>United States</t>
  </si>
  <si>
    <t>Uruguay</t>
  </si>
  <si>
    <t>Uzbekistan</t>
  </si>
  <si>
    <t>Vanuatu</t>
  </si>
  <si>
    <t>Venezuela</t>
  </si>
  <si>
    <t>Viet Nam</t>
  </si>
  <si>
    <t>Western Sahara</t>
  </si>
  <si>
    <t>Yemen</t>
  </si>
  <si>
    <t>Zambia</t>
  </si>
  <si>
    <t>Zanzibar</t>
  </si>
  <si>
    <t>Zimbabwe</t>
  </si>
  <si>
    <t>CCM</t>
  </si>
  <si>
    <t>non-CCM</t>
  </si>
  <si>
    <t>Curacao</t>
  </si>
  <si>
    <t>Korea (Republic)</t>
  </si>
  <si>
    <t>Libya</t>
  </si>
  <si>
    <t>Palestine</t>
  </si>
  <si>
    <t>Sint Maarten (Dutch part)</t>
  </si>
  <si>
    <t>Czechia</t>
  </si>
  <si>
    <t>Country Target Already Covered by funding resource</t>
  </si>
  <si>
    <t>C1. Country target planned to be covered by domestic resources</t>
  </si>
  <si>
    <t>C2. Country target planned to be covered by external resources</t>
  </si>
  <si>
    <t>C3. Total Country target planned to be covered (C1+C2)</t>
  </si>
  <si>
    <t>Country Target Already Covered by type of condom</t>
  </si>
  <si>
    <t>C6. Total Country target planned to be covered (male+female) (C4+C5)</t>
  </si>
  <si>
    <t>D1. Expected annual gap in meeting the need- male condoms: B1 - C4</t>
  </si>
  <si>
    <t>G1. Remaining gap- male condoms: B1 - F1</t>
  </si>
  <si>
    <t>G2. Remaining gap- female condoms: B2 - F2</t>
  </si>
  <si>
    <t>D2. Expected annual gap in meeting the need- female condoms: B2 - C5</t>
  </si>
  <si>
    <t xml:space="preserve">Number of needles and syringes distributed </t>
  </si>
  <si>
    <t>Needles and syringes to be distributed per person per year</t>
  </si>
  <si>
    <t>A. Total needles and syringes needed</t>
  </si>
  <si>
    <t>B. Country target- Needles and syringes to be distributed (from National Strategic Plan)</t>
  </si>
  <si>
    <t>G. Remaining gap-needles and syringes: B - F</t>
  </si>
  <si>
    <t>"NSP gap table" Tab</t>
  </si>
  <si>
    <t>"PrEP gap table" Tab</t>
  </si>
  <si>
    <t>Possible targets: Low ←100 ← Mid →200→High
Note that the levels required for the prevention of HCV are likely to be much higher than those proposed here.
This number should still be calculated even if data on the number of needles– syringes sold by pharmacies is not available.</t>
  </si>
  <si>
    <t xml:space="preserve">Tool to Set and Monitor Targets for HIV Prevention, Diagnosis, Treatment and Care for Key Populations, July 2015 (page 40-41)
http://apps.who.int/iris/bitstream/10665/177992/1/9789241508995_eng.pdf?ua=1&amp;ua=1 </t>
  </si>
  <si>
    <t>Coverage indicator: 
Percentage of people living with HIV currently receiving antiretroviral therapy</t>
  </si>
  <si>
    <t>Country target:
1) Refers to NSP or any other latest agreed country target
2) "#" refers to the total number of people to be on antiretroviral therapy
3) "%" refers to the number of adults and children expected to be on antiretroviral therapy among all adults and children living with HIV</t>
  </si>
  <si>
    <t>PMTCT - Preventing vertical HIV transmission</t>
  </si>
  <si>
    <t>Coverage indicator: 
Percentage of HIV-positive pregnant women who received ART during pregnancy</t>
  </si>
  <si>
    <t>Estimated population in need/at risk:
Refers to the total number of new and relapse TB patients registered</t>
  </si>
  <si>
    <t>Country target:
1) Refers to NSP or any other latest agreed country target
2) # refers to the number of registered new and relapses TB patients with documented HIV status
3) % refers to the percentage of registered new and relapses TB patients with documented HIV status among the total number of registered new and relapses TB patients</t>
  </si>
  <si>
    <t>Country target:
1) refers to NSP or any latest agreed country target
2) # refers to the number of HIV positive new and relapse TB patients who receive ART
3) % refers to the percentage of HIV positive new and relapse TB patients who receive ART among the total of HIV positive new and relapse TB patients registered</t>
  </si>
  <si>
    <t>Coverage indicator: 
Percentage of the key population reached with prevention programs- defined package of services</t>
  </si>
  <si>
    <t>Estimated population in need/ at risk:
Refers to estimated number of people in the specified key population</t>
  </si>
  <si>
    <t xml:space="preserve">Country target:
1)  Refers to NSP or any other latest agreed country target
2) "#" refers to the number of people in the specified key population expected to be reached by a defined package of prevention services
3) "%" refers to the percentage of people reached by a defined package of prevention services among the estimated number of people in the specified key population </t>
  </si>
  <si>
    <t xml:space="preserve">Coverage indicator: Percentage of the key population that have received an HIV test during the reporting period and who know their results </t>
  </si>
  <si>
    <t>Country target:
1)  Refers to NSP or any other latest agreed country target
2) "#" refers to the number of people in the specified key population expected to be tested for HIV in the specified year
3) "%" refers to the percentage of people to be tested for HIV among the estimated number of people in the specified key population in the specified year</t>
  </si>
  <si>
    <t>Prevention programs for PWID and their partners-  OST and other drug dependence treatment for PWIDs</t>
  </si>
  <si>
    <t>Coverage indicator: Percentage of PWID on opioid substitution therapy</t>
  </si>
  <si>
    <t>Prevention programs for general population- male circumcision: 
Required from the 16 priority countries with high HIV prevalence, low levels of male circumcision and generalized heterosexual HIV epidemics i.e. Botswana, Ethiopia, Central African Republic, Kenya, Lesotho, Malawi, Mozambique, Namibia, Rwanda, South Africa, South Sudan, Swaziland, Uganda, United Republic or Tanzania, Zambia and Zimbabwe.</t>
  </si>
  <si>
    <t>Coverage indicator: number of medical male circumcisions performed according to national standards</t>
  </si>
  <si>
    <t>Prevention programs for PWID and their partners-  Needle and syringe programs</t>
  </si>
  <si>
    <t xml:space="preserve">Coverage indicator: Number of needles and syringes distributed </t>
  </si>
  <si>
    <t xml:space="preserve">Needles and syringes to be distributed per person per year: 
Specify the number of needles and syringes planned to be distributed per person per year.
Refer to WHO guidance for further details: </t>
  </si>
  <si>
    <t>Total needles and syringes needed:
It refers to the estimated number of needles and syringes needed for distribution each year based on the needles and syringes needed per person per year.</t>
  </si>
  <si>
    <t xml:space="preserve">Country target:
1)  Refers to NSP or any other latest agreed country target
2) "#" refers to the number of needles and syringes planned to be distributed by the program each year based on expected coverage of people who inject drugs and the number of needles and syringes needed per person reached.  </t>
  </si>
  <si>
    <t>Key PopPrep</t>
  </si>
  <si>
    <t>Country Target Covered with the Allocation Amount</t>
  </si>
  <si>
    <t>PrEP Programmatic Gap Table</t>
  </si>
  <si>
    <t>C4. Country target planned to be covered (domestic+external resources)- male condoms</t>
  </si>
  <si>
    <t>C5. Country target planned to be covered (domestic+external resources)- female condoms</t>
  </si>
  <si>
    <t>HIV/AIDS Programmatic Gap Table - Condoms</t>
  </si>
  <si>
    <t>HIV/AIDS Programmatic Gap Table - Needle and syringe programs</t>
  </si>
  <si>
    <t>E. Targets to be financed by allocation amount- needles and syringes</t>
  </si>
  <si>
    <r>
      <rPr>
        <b/>
        <sz val="11"/>
        <color theme="1"/>
        <rFont val="Calibri"/>
        <family val="2"/>
      </rPr>
      <t>PTME</t>
    </r>
  </si>
  <si>
    <r>
      <rPr>
        <sz val="11"/>
        <color theme="1"/>
        <rFont val="Calibri"/>
        <family val="2"/>
      </rPr>
      <t>femmes enceintes</t>
    </r>
  </si>
  <si>
    <r>
      <rPr>
        <b/>
        <sz val="11"/>
        <color theme="1"/>
        <rFont val="Calibri"/>
        <family val="2"/>
      </rPr>
      <t>Interventions conjointes TB.VIH_Patients tuberculeux dont le statut sérologique vis-à-vis du VIH est connu</t>
    </r>
  </si>
  <si>
    <r>
      <rPr>
        <b/>
        <sz val="11"/>
        <color theme="1"/>
        <rFont val="Calibri"/>
        <family val="2"/>
      </rPr>
      <t>Programmes de prévention pour les populations clés_Ensemble défini de services</t>
    </r>
  </si>
  <si>
    <r>
      <rPr>
        <sz val="11"/>
        <color theme="1"/>
        <rFont val="Calibri"/>
        <family val="2"/>
      </rPr>
      <t>hommes ayant des rapports sexuels avec des hommes (HSH)</t>
    </r>
  </si>
  <si>
    <r>
      <rPr>
        <sz val="11"/>
        <color theme="1"/>
        <rFont val="Calibri"/>
        <family val="2"/>
      </rPr>
      <t>professionnel(le)s du sexe et leurs clients</t>
    </r>
  </si>
  <si>
    <r>
      <rPr>
        <sz val="11"/>
        <color theme="1"/>
        <rFont val="Calibri"/>
        <family val="2"/>
      </rPr>
      <t>personnes transgenres (TG)</t>
    </r>
  </si>
  <si>
    <r>
      <rPr>
        <sz val="11"/>
        <color theme="1"/>
        <rFont val="Calibri"/>
        <family val="2"/>
      </rPr>
      <t>autres populations vulnérables - à préciser dans les observations</t>
    </r>
  </si>
  <si>
    <r>
      <rPr>
        <b/>
        <sz val="11"/>
        <color theme="1"/>
        <rFont val="Calibri"/>
        <family val="2"/>
      </rPr>
      <t>Programmes de prévention pour les CDI et leurs partenaires_Distribution d'aiguilles et de seringues</t>
    </r>
  </si>
  <si>
    <r>
      <rPr>
        <b/>
        <sz val="11"/>
        <color theme="1"/>
        <rFont val="Calibri"/>
        <family val="2"/>
      </rPr>
      <t>Programmes de prévention pour les CDI et leurs partenaires_TSO et autres traitements contre la dépendance aux drogues pour les CDI</t>
    </r>
  </si>
  <si>
    <r>
      <rPr>
        <i/>
        <sz val="11"/>
        <color theme="1"/>
        <rFont val="Calibri"/>
        <family val="2"/>
      </rPr>
      <t>personnalisé</t>
    </r>
  </si>
  <si>
    <r>
      <rPr>
        <b/>
        <sz val="11"/>
        <color theme="1"/>
        <rFont val="Calibri"/>
        <family val="2"/>
      </rPr>
      <t>Pop. clés</t>
    </r>
  </si>
  <si>
    <r>
      <rPr>
        <sz val="11"/>
        <color theme="1"/>
        <rFont val="Calibri"/>
        <family val="2"/>
      </rPr>
      <t>Sélectionner…</t>
    </r>
  </si>
  <si>
    <r>
      <rPr>
        <sz val="11"/>
        <color theme="1"/>
        <rFont val="Calibri"/>
        <family val="2"/>
      </rPr>
      <t xml:space="preserve">Nombre de préservatifs </t>
    </r>
    <r>
      <rPr>
        <sz val="11"/>
        <color rgb="FFF79646" tint="-0.249977111117893"/>
        <rFont val="Calibri"/>
        <family val="2"/>
      </rPr>
      <t xml:space="preserve">et de lubrifiants </t>
    </r>
    <r>
      <rPr>
        <sz val="11"/>
        <color theme="1"/>
        <rFont val="Calibri"/>
        <family val="2"/>
      </rPr>
      <t>distribués (masculins et féminins)</t>
    </r>
  </si>
  <si>
    <r>
      <rPr>
        <sz val="11"/>
        <color theme="1"/>
        <rFont val="Calibri"/>
        <family val="2"/>
      </rPr>
      <t>Sélectionnez votre lieu géographique…</t>
    </r>
  </si>
  <si>
    <r>
      <rPr>
        <sz val="11"/>
        <color theme="1"/>
        <rFont val="Calibri"/>
        <family val="2"/>
      </rPr>
      <t>ICN</t>
    </r>
  </si>
  <si>
    <r>
      <rPr>
        <sz val="11"/>
        <color theme="1"/>
        <rFont val="Calibri"/>
        <family val="2"/>
      </rPr>
      <t>non ICN</t>
    </r>
  </si>
  <si>
    <r>
      <rPr>
        <sz val="11"/>
        <color theme="1"/>
        <rFont val="Calibri"/>
        <family val="2"/>
      </rPr>
      <t>VIH/sida</t>
    </r>
  </si>
  <si>
    <r>
      <rPr>
        <sz val="11"/>
        <color theme="1"/>
        <rFont val="Calibri"/>
        <family val="2"/>
      </rPr>
      <t>Tableau 1 des déficits programmatiques pour le VIH/sida (par intervention prioritaire)</t>
    </r>
  </si>
  <si>
    <r>
      <rPr>
        <sz val="11"/>
        <color theme="1"/>
        <rFont val="Calibri"/>
        <family val="2"/>
      </rPr>
      <t>Tableau 2 des déficits programmatiques pour le VIH/sida (par intervention prioritaire)</t>
    </r>
  </si>
  <si>
    <r>
      <rPr>
        <sz val="11"/>
        <color theme="1"/>
        <rFont val="Calibri"/>
        <family val="2"/>
      </rPr>
      <t>Tableau 3 des déficits programmatiques pour le VIH/sida (par intervention prioritaire)</t>
    </r>
  </si>
  <si>
    <r>
      <rPr>
        <sz val="11"/>
        <color theme="1"/>
        <rFont val="Calibri"/>
        <family val="2"/>
      </rPr>
      <t>Tableau 4 des déficits programmatiques pour le VIH/sida (par intervention prioritaire)</t>
    </r>
  </si>
  <si>
    <r>
      <rPr>
        <sz val="11"/>
        <color theme="1"/>
        <rFont val="Calibri"/>
        <family val="2"/>
      </rPr>
      <t>Tableau 5 des déficits programmatiques pour le VIH/sida (par intervention prioritaire)</t>
    </r>
  </si>
  <si>
    <r>
      <rPr>
        <sz val="11"/>
        <color theme="1"/>
        <rFont val="Calibri"/>
        <family val="2"/>
      </rPr>
      <t>Tableau 6 des déficits programmatiques pour le VIH/sida (par intervention prioritaire)</t>
    </r>
  </si>
  <si>
    <r>
      <rPr>
        <sz val="11"/>
        <color theme="1"/>
        <rFont val="Calibri"/>
        <family val="2"/>
      </rPr>
      <t xml:space="preserve">INSTRUCTIONS – Modules prioritaires pour le VIH </t>
    </r>
  </si>
  <si>
    <t>A1. Nombre total de préservatifs masculins nécessaires</t>
  </si>
  <si>
    <t>A2. Nombre total de préservatifs féminins nécessaires</t>
  </si>
  <si>
    <t>Módulo prioritario</t>
  </si>
  <si>
    <t>Inserte el año</t>
  </si>
  <si>
    <t xml:space="preserve">E. Metas que se van a financiar con el monto asignado </t>
  </si>
  <si>
    <t xml:space="preserve">Número de circuncisiones médicas masculinas practicadas </t>
  </si>
  <si>
    <t>Meta de país ya cubierta</t>
  </si>
  <si>
    <t>C1. Meta del país que se va a financiar con recursos nacionales</t>
  </si>
  <si>
    <t xml:space="preserve">C2. Meta del país que se va a financiar con recursos externos </t>
  </si>
  <si>
    <t xml:space="preserve">Meta de país financiada con el monto asignado </t>
  </si>
  <si>
    <t>A1. Número total de preservativos masculinos necesarios</t>
  </si>
  <si>
    <t>A2. Número total de preservativos femeninos necesarios</t>
  </si>
  <si>
    <t>Meta del país ya cubierta con recursos de financiamiento</t>
  </si>
  <si>
    <t>C3. Meta total del país que se va a financiar (C1+C2)</t>
  </si>
  <si>
    <t>Meta del país ya cubierta por tipo de preservativo</t>
  </si>
  <si>
    <t xml:space="preserve">C4. Meta del país que se va a financiar (recursos nacionales+externos) - preservativos masculinos </t>
  </si>
  <si>
    <t>C5. Meta del país que se va a financiar (recursos nacionales+externos) - preservativos femeninos</t>
  </si>
  <si>
    <t>C6. Meta total del país que se va a financiar (hombres+mujeres) (C4+C5)</t>
  </si>
  <si>
    <t xml:space="preserve">Meta del país financiada con el monto asignado </t>
  </si>
  <si>
    <t>E1. Metas que se van a financiar con el monto asignado - preservativos masculinos</t>
  </si>
  <si>
    <t>E2. Metas que se van a financiar con el monto asignado - preservativos femeninos</t>
  </si>
  <si>
    <t>F1. Cobertura realizada con el monto asignado y otros recursos - preservativos masculinos:
 E1 + C4</t>
  </si>
  <si>
    <t>F2. Cobertura realizada con el monto asignado y otros recursos - preservativos femeninos:
 E2 + C5</t>
  </si>
  <si>
    <t xml:space="preserve">Todos los "%" de las metas de las filas C a G están basados en la meta numérica de las filas B1 y B2 </t>
  </si>
  <si>
    <t>Número de preservativos y lubricantes distribuidos (masculinos y femeninos)</t>
  </si>
  <si>
    <t>Número de agujas y jeringuillas distribuidas</t>
  </si>
  <si>
    <t>Número de agujas y jeringuillas que se distribuirán por persona al año</t>
  </si>
  <si>
    <t>A. Número total de agujas y jeringuillas necesarias</t>
  </si>
  <si>
    <t xml:space="preserve">E. Metas que se van a financiar con el monto asignado - agujas y jeringuillas </t>
  </si>
  <si>
    <t>INSTRUCCIONES- Módulos prioritarios para el VIH/sida</t>
  </si>
  <si>
    <t>PTMI - Prevención de la transmisión vertical del VIH</t>
  </si>
  <si>
    <t xml:space="preserve">Población estimada con necesidades/en riesgo:
Se refiere al número total de pacientes con tuberculosis (casos nuevos y recaídas) registrados. </t>
  </si>
  <si>
    <t xml:space="preserve">Población estimada con necesidades/en riesgo:
Se refiere al número total de pacientes seropositivos con tuberculosis (casos nuevos y recaídas) que se espera registrar durante el período de informe. </t>
  </si>
  <si>
    <t>Indicador de cobertura: porcentaje de la población clave atendida por los programas de prevención - paquete definido de servicios.</t>
  </si>
  <si>
    <t xml:space="preserve">Población estimada con necesidades/en riesgo:
Se refiere al número estimado de personas de la población clave indicada. </t>
  </si>
  <si>
    <t>Indicador de cobertura: porcentaje de la población clave que se sometió a una prueba de VIH durante el período de informe y conoce los resultados.</t>
  </si>
  <si>
    <t xml:space="preserve">Indicador de cobertura: número de agujas y jeringuillas distribuidas </t>
  </si>
  <si>
    <t>Tool to Set and Monitor Targets for HIV Prevention, Diagnosis, Treatment and Care for Key Populations, julio de 2015 (págs. 40-41)
http://apps.who.int/iris/bitstream/10665/177992/1/9789241508995_eng.pdf?ua=1&amp;ua=1</t>
  </si>
  <si>
    <t>Número total de agujas y jeringuillas necesarias:
Se refiere al número estimado de agujas y jeringuillas necesarias para su distribución cada año basado en el número de agujas y jeringuillas necesarias por persona al año.</t>
  </si>
  <si>
    <t>Población estimada con necesidades/en riesgo:
Se refiere al número estimado de personas de la población clave indicada en el año especificado. En la casilla de comentarios, indique la fuente de datos/referencia/supuestos empleados para calcular la población con necesidades.</t>
  </si>
  <si>
    <t>Indicador de cobertura: número de circuncisiones médicas practicadas de acuerdo con la normativa nacional.</t>
  </si>
  <si>
    <t xml:space="preserve">Comentarios/supuestos:
1) Especifique el área objetivo.
2) Especifique cuáles son las otras fuentes de financiamiento.
3) Además de las metas del país, especifique en la columna de comentarios el porcentaje de hombres que están circuncidados (cobertura actual y prevista, lo que incluiría el número acumulado de hombres circuncidados) según las encuestas o los datos de programa disponibles. </t>
  </si>
  <si>
    <t>Solicitante</t>
  </si>
  <si>
    <t>Componente</t>
  </si>
  <si>
    <t>Tipo de solicitante</t>
  </si>
  <si>
    <t>Seleccione su zona geográfica…</t>
  </si>
  <si>
    <t>Seleccione…</t>
  </si>
  <si>
    <t>MCP</t>
  </si>
  <si>
    <t>Entidad no vinculada a un MCP</t>
  </si>
  <si>
    <t>Intervenciones conjuntas de tuberculosis y VIH. Revisión de tuberculosis en pacientes con VIH</t>
  </si>
  <si>
    <t>Programas de prevención destinados a las poblaciones clave. Paquete definido de servicios</t>
  </si>
  <si>
    <t>Porcentaje de poblaciones clave atendidas por los programas de prevención. Paquete definido de servicios</t>
  </si>
  <si>
    <t>Porcentaje de la población clave que se ha sometido a pruebas del VIH durante el período de informe y conocen los resultados</t>
  </si>
  <si>
    <t>Programas de prevención para usuarios de drogas inyectables y sus parejas. Distribución de agujas y jeringuillas</t>
  </si>
  <si>
    <t>Porcentaje de usuarios de drogas inyectables atendidos por los programas de agujas y jeringuillas</t>
  </si>
  <si>
    <t>Programas de prevención para usuarios de drogas inyectables y sus parejas. Terapia de sustitución con opiáceos y otros tratamientos de la drogodependencia para usuarios de drogas inyectables</t>
  </si>
  <si>
    <t>Porcentaje de usuarios de drogas inyectables que reciben terapia de sustitución con opiáceos</t>
  </si>
  <si>
    <t>mujeres embarazadas</t>
  </si>
  <si>
    <t>Intervenciones conjuntas de tuberculosis y VIH. Pacientes de tuberculosis con estado serológico respecto al VIH conocido</t>
  </si>
  <si>
    <t>Intervenciones conjuntas de tuberculosis y VIH. Pacientes seropositivos con tuberculosis que reciben tratamiento antirretroviral</t>
  </si>
  <si>
    <t>hombres que tienen relaciones sexuales con hombres</t>
  </si>
  <si>
    <t>trabajadores del sexo y sus clientes</t>
  </si>
  <si>
    <t>personas transgénero</t>
  </si>
  <si>
    <r>
      <t xml:space="preserve">otras poblaciones vulnerables </t>
    </r>
    <r>
      <rPr>
        <sz val="11"/>
        <color theme="1"/>
        <rFont val="Calibri"/>
        <family val="2"/>
        <scheme val="minor"/>
      </rPr>
      <t xml:space="preserve"> - especifique cuáles en los comentarios</t>
    </r>
  </si>
  <si>
    <t>adaptado</t>
  </si>
  <si>
    <t>personas en las prisiones y en otros entornos de reclusión</t>
  </si>
  <si>
    <t>Coverage indicator:
Percentage of HIV-positive new and relapse TB patients on ART during TB treatment</t>
  </si>
  <si>
    <t>Percentage of registered new and relapse TB patients with documented HIV status</t>
  </si>
  <si>
    <t>Pourcentage de nouveaux patients tuberculeux et de rechutes, séropositifs au VIH, sous traitement antirétroviral au cours du traitement de la tuberculose</t>
  </si>
  <si>
    <t>Porcentaje de casos de TB nuevos y recaídas VIH+ en TARV durante el tratamiento para la tuberculosis</t>
  </si>
  <si>
    <t>Indicateur de couverture : 
Pourcentage de personnes appartenant aux populations clés atteintes par des programmes de prévention - paquet de services définis</t>
  </si>
  <si>
    <t>Programas de prevención integral para personas que se inyectan drogas y sus parejas - terapia de sustitución de opiáceos y otros tratamientos para la drogodependencia de personas que se inyectan drogas</t>
  </si>
  <si>
    <t>Déficit programmatique :
Le déficit programmatique est calculé à partir des besoins totaux (rangée A).</t>
  </si>
  <si>
    <t>Observations/Hypothèses :
1) Indiquez la zone cible
2) Spécifiez les autres sources de financement.</t>
  </si>
  <si>
    <t>Observations/Hypothèses :
1) Indiquez la zone cible.
2) Précisez qui sont les autres sources de financement.</t>
  </si>
  <si>
    <t>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t>
  </si>
  <si>
    <t>Cible du pays :
1) Se rapporte au plan stratégique national ou à toute cible du pays approuvée plus récemment
2) « # » correspond au nombre de patients tuberculeux (nouveaux cas et récidives) et séropositifs sous traitement antirétroviral
3) « % » correspond au pourcentage de patients tuberculeux (nouveaux cas et récidives) et séropositifs sous traitement antirétroviral dans la population totale des patients tuberculeux (nouveaux cas et cas de récidive) et séropositifs enregistrés</t>
  </si>
  <si>
    <t>Estimation des populations dans le besoin/à risque :
Correspond à l'effectif estimé des populations clé spécifiée</t>
  </si>
  <si>
    <t xml:space="preserve">Cible du pays :
1) Se rapporte au plan stratégique national ou à toute autre cible du pays approuvée plus récemment
2) « # » correspond au nombre de personnes issues des populations clé spécifiée et censées bénéficier d'un ensemble de services de prévention définis 
3) « % » correspond au pourcentage de personnes bénéficiant d'un ensemble de services de prévention définis dans le total estimé des personnes qui constituent la population clé spécifiée </t>
  </si>
  <si>
    <t>Cible du pays :
1) Se rapporte au plan stratégique national ou à toute autre cible du pays approuvée plus récemment.
2) « # » correspond au nombre de personnes appartenant à la population clé spécifiée, censées être dépistées pour le VIH durant l'année indiquée
3) « % » correspond au pourcentage de personnes devant être dépistées dans le total estimé des personnes qui constituent la population clé spécifiée</t>
  </si>
  <si>
    <t xml:space="preserve">Nombre d'aiguilles et de seringues a distribuer par personne et par an : 
Indiquez le nombre d'aiguilles et de seringues qu'il est prévu de distribuer par personne et par an.
Pour plus de détails, reportez-vous aux rangées directrices (en anglais) de l'OMS : </t>
  </si>
  <si>
    <t>Cibles envisageables : Basse ← 100 ← Moyenne → 200 → Haute
Notez que les quantités nécessaires pour prévenir la transmission du VHC seront vraisemblablement très supérieures à celles qui sont proposées ici.
Ce nombre doit être calculé même si vous ne connaissez pas le nombre d'aiguilles/seringues vendues en pharmacie.</t>
  </si>
  <si>
    <t>Nombre total d'aiguilles et de seringues nécessaire :
Correspond au nombre total d'aiguilles et de seringues à distribuer chaque année, estimé à partir du nombre d'aiguilles et de seringues nécessaires par personne et par an.</t>
  </si>
  <si>
    <t>Programmes de prévention pour la population générale - circoncision masculine : 
Obligatoires dans les 16 pays prioritaires caractérisés par une forte prévalence du VIH, de faibles niveaux de circoncision masculine et une épidémie généralisée de VIH dans la population hétérosexuelle, à savoir : le Botswana, l'Éthiopie, la République centrafricaine, le Kenya, le Lesotho, le Malawi, le Mozambique, la Namibie, le Rwanda, l'Afrique du Sud, le Soudan du Sud, le Swaziland, l'Ouganda, République-Unie de Tanzanie, la Zambie et le Zimbabwe.</t>
  </si>
  <si>
    <t xml:space="preserve">Cible du pays : 
1) Se rapporte au plan stratégique national ou à toute autre cible du pays approuvée plus récemment.
2) « # » correspond au nombre d'hommes ciblés pour être circoncis </t>
  </si>
  <si>
    <t>B. Metas del país (según el Plan Estratégico Nacional)</t>
  </si>
  <si>
    <t>C1. Necesidades del país que se van a cubrir con recursos nacionales</t>
  </si>
  <si>
    <t xml:space="preserve">C2. Necesidades del país que se van a cubrir con recursos externos </t>
  </si>
  <si>
    <t>Brecha programática</t>
  </si>
  <si>
    <t xml:space="preserve">Necesidades del país cubiertas por el monto asignado </t>
  </si>
  <si>
    <t xml:space="preserve">G. Déficit restante: A - F </t>
  </si>
  <si>
    <t>G. Déficit restante: A - F</t>
  </si>
  <si>
    <t>Todos los "%" de las metas de las filas C a G están basados en la meta numérica de la fila B</t>
  </si>
  <si>
    <t>B1. Metas del país - preservativos masculinos (según el Plan Estratégico Nacional)</t>
  </si>
  <si>
    <t>B2. Metas del país - preservativos femeninos (según el Plan Estratégico Nacional)</t>
  </si>
  <si>
    <t xml:space="preserve">D1. Déficit anual previsto para cubrir la necesidad - preservativos masculinos: B1 - C4 </t>
  </si>
  <si>
    <t xml:space="preserve">D2. Déficit anual previsto para cubrir la necesidad - preservativos femeninos: B2 - C5 </t>
  </si>
  <si>
    <t>G1. Déficit restante - preservativos masculinos: B1 - F1</t>
  </si>
  <si>
    <t>G2. Déficit restante - preservativos femeninos: B2 - F2</t>
  </si>
  <si>
    <t>B. Meta del país - Número de agujas y jeringuillas que se van a distribuir (según el Plan Estratégico Nacional)</t>
  </si>
  <si>
    <t>G. Déficit restante - agujas y jeringuillas: B - F</t>
  </si>
  <si>
    <t>Meta del país:
1) Se refiere al Plan Estratégico Nacional (PEN) o a la última meta del país acordada.
2) "#" se refiere al número total de personas que recibirán tratamiento antirretroviral.
3) "%" se refiere al número de adultos y niños que se espera que reciba tratamiento antirretroviral entre todos los adultos y niños que viven con el VIH.</t>
  </si>
  <si>
    <t>Necesidades del país ya alcanzadas:
Las necesidades del país ya alcanzadas se desglosan en aquellas que serán financiadas por recursos nacionales (fila C1) y recursos externos (fila C2). Las inversiones nacionales del sector privado se incluirán entre las fuentes de financiamiento nacionales. En los casos en que parte de una necesidad durante el año esté financiada por una subvención en curso del Fondo Mundial (es decir, una subvención que finalice antes de comenzar el nuevo periodo de ejecución), esta podrá incluirse en la categoría de recursos externos. 
Una vez completadas las filas C1 y C2, la necesidad total del país ya alcanzada se calcula de forma automática en la fila C3. Recuerde que la fila C3 está bloqueada y no se puede desbloquear. Por lo tanto, deberá introducir un total en la fila C1 en caso de no disponer de un desglose de los recursos nacionales y externos. De ser así, deberá indicar en la casilla de comentarios que la fila C1 hace referencia conjuntamente al total de recursos nacionales y externos.</t>
  </si>
  <si>
    <t>Meta del país:
1) Se refiere al Plan Estratégico Nacional (PEN) o a la última meta del país acordada.
2) "#" se refiere al número de pacientes con tuberculosis (casos nuevos y recaídas) registrados con estado serológico conocido respecto al VIH.
3) "%" se refiere al porcentaje de pacientes con tuberculosis (casos nuevos y recaídas) registrado con estado serológico conocido respecto al VIH entre el número total de pacientes con tuberculosis (casos nuevos y recaídas) registrados.</t>
  </si>
  <si>
    <t xml:space="preserve">Meta del país:
1)  Se refiere al Plan Estratégico Nacional (PEN) o a la última meta del país acordada.
2) "#" se refiere al número de pacientes seropositivos con tuberculosis (casos nuevos y recaídas) que reciben tratamiento antirretroviral.
3) "%" se refiere al porcentaje de los pacientes seropositivos con tuberculosis (casos nuevos y recaídas) que recibe tratamiento antirretroviral entre el total de pacientes seropositivos con tuberculosis (casos nuevos y recaídas) registrados. </t>
  </si>
  <si>
    <t>Meta del país:
1) Se refiere al Plan Estratégico Nacional (PEN) o a la última meta del país acordada.
2) "#" se refiere al número de personas de la población clave indicada que está previsto alcanzar mediante un paquete definido de servicios de prevención.
3) "%" se refiere al porcentaje de personas alcanzado por un paquete definido de servicios de prevención entre el número estimado de personas en la población clave indicada.</t>
  </si>
  <si>
    <t xml:space="preserve">Comentarios/supuestos:
1) Especifique el área objetivo.
2) Especifique cuáles son las otras fuentes de financiamiento.
3) Especifique las intervenciones que se incluyen en el paquete. El paquete debe hacer referencia a un conjunto definido de intervenciones que deben recibir las personas y en torno al cual estas se incluyen en los resultados; es decir, solamente se deben contar las personas que hayan recibido el conjunto completo de intervenciones del paquete definido. </t>
  </si>
  <si>
    <t>Meta del país:
1) Se refiere al Plan Estratégico Nacional (PEN) o a la última meta del país acordada.
2) "#" se refiere al número de personas de la población clave indicada que se espera que se someta a las pruebas de VIH en el año indicado.
3) "%" se refiere al porcentaje de personas que se someterá a las pruebas de VIH en el año indicado entre el número estimado de personas en la población clave indicada.</t>
  </si>
  <si>
    <t xml:space="preserve">Población estimada con necesidades/en riesgo:
Se refiere al número estimado de personas que se inyectan drogas. </t>
  </si>
  <si>
    <t>Agujas y jeringuillas que se van a distribuir por persona al año: 
Especifique el número de agujas y jeringuillas que se espera distribuir por persona al año.
Para más información, consulte las directrices de la OMS:</t>
  </si>
  <si>
    <t>Metas posibles: Baja ←100 ← Media →200→Alta
Tenga presente que los niveles requeridos para prevenir el virus de la hepatitis C seguramente serán muy superiores a los que aquí se proponen.
Este número deberá ser calculado aún cuando no se disponga de datos sobre el número de agujas y jeringuillas vendidas en las farmacias.</t>
  </si>
  <si>
    <t>Meta del país:
1) Se refiere al Plan Estratégico Nacional (PEN) o a la última meta del país acordada.
2) "#" se refiere al número de agujas y jeringuillas que se espera distribuir a través del programa cada año en base a la cobertura prevista para las personas que se inyectan drogas y el número registrado de agujas y jeringuillas necesarias por cada persona atendida.</t>
  </si>
  <si>
    <t>Meta del país:
1) Se refiere al Plan Estratégico Nacional (PEN) o a la última meta del país acordada.
2) "#" se refiere al número de personas que se inyectan drogas que se espera que reciban terapia de sustitución con opiáceos.
3) "%" se refiere al porcentaje de personas que se inyecta drogas que recibe terapia de sustitución con opiáceos entre el número estimado de personas que se inyectan drogas.</t>
  </si>
  <si>
    <t>Población estimada con necesidades/en riesgo: 
Se refiere al número estimado de hombres apto para la práctica de la circuncisión.</t>
  </si>
  <si>
    <t xml:space="preserve">Meta del país: 
1) Se refiere al Plan Estratégico Nacional (PEN) o a la última meta del país acordada.
2) "#": se refiere al número de hombres a quienes se planea practicar la circuncisión. 
</t>
  </si>
  <si>
    <t xml:space="preserve">Meta del país ya alcanzada:
Las metas del país ya alcanzadas se desglosan en aquellas que se financiarán con recursos nacionales (fila C1) y recursos externos (fila C2). Las inversiones nacionales del sector privado se incluirán entre las fuentes de financiamiento nacionales. En los casos en que parte de una meta durante el año se financie con una subvención en curso del Fondo Mundial (es decir, una subvención que finalice antes de comenzar el nuevo período de ejecución), ésta podrá incluirse en la categoría de recursos externos. 
Una vez completadas las filas C1 y C2, la meta total del país ya alcanzada se calcula de forma automática en la fila C3. Recuerde que la fila C3 está bloqueada y no se puede desbloquear. Por lo tanto, deberá introducir un total en la fila C1 en caso de no disponer de un desglose de los recursos nacionales y externos. De ser así, deberá indicar en la casilla de comentarios que la fila C1 hace referencia al total de recursos nacionales y externos.
</t>
  </si>
  <si>
    <t>Lea detenidamente la hoja de instrucciones antes de completar la tabla de brecha programática.</t>
  </si>
  <si>
    <t xml:space="preserve">Para completar la portada, seleccione el tipo de zona geográfica y el tipo de solicitante de las listas desplegables. </t>
  </si>
  <si>
    <r>
      <rPr>
        <b/>
        <u/>
        <sz val="11"/>
        <rFont val="Arial"/>
        <family val="2"/>
      </rPr>
      <t>Français</t>
    </r>
    <r>
      <rPr>
        <b/>
        <sz val="11"/>
        <rFont val="Arial"/>
        <family val="2"/>
      </rPr>
      <t xml:space="preserve">: </t>
    </r>
    <r>
      <rPr>
        <sz val="11"/>
        <rFont val="Arial"/>
        <family val="2"/>
      </rPr>
      <t>Veuillez choisir la langue sur l'onglet Instructions (rangée B6)</t>
    </r>
  </si>
  <si>
    <r>
      <rPr>
        <b/>
        <u/>
        <sz val="11"/>
        <rFont val="Arial"/>
        <family val="2"/>
      </rPr>
      <t>Español:</t>
    </r>
    <r>
      <rPr>
        <b/>
        <sz val="11"/>
        <rFont val="Arial"/>
        <family val="2"/>
      </rPr>
      <t xml:space="preserve"> </t>
    </r>
    <r>
      <rPr>
        <sz val="11"/>
        <rFont val="Arial"/>
        <family val="2"/>
      </rPr>
      <t>Seleccione el idioma en la hoja Instructions (fila B6)</t>
    </r>
  </si>
  <si>
    <t>Intervenciones colaborativas de tuberculosis y VIH_Pacientes seropositivos con tuberculosis que reciben tratamiento antirretroviral</t>
  </si>
  <si>
    <t>IntervencionescolaborativasdetuberculosisyVIH_Pacientesseropositivoscontuberculoisquerecibentratamientoantirretroviral</t>
  </si>
  <si>
    <t>Pestaña "NSP gap table"</t>
  </si>
  <si>
    <t>Pestaña "PrEP gap table"</t>
  </si>
  <si>
    <t>Pestaña "Condom gap tables"</t>
  </si>
  <si>
    <t>Pestaña "Male circumcision gap table"</t>
  </si>
  <si>
    <r>
      <rPr>
        <sz val="11"/>
        <rFont val="Calibri"/>
        <family val="2"/>
      </rPr>
      <t>Module prioritaire</t>
    </r>
  </si>
  <si>
    <r>
      <rPr>
        <sz val="11"/>
        <rFont val="Calibri"/>
        <family val="2"/>
      </rPr>
      <t>Indicateur de couverture sélectionné</t>
    </r>
  </si>
  <si>
    <t>Indicateur de couverture : 
Pourcentage de personnes vivant avec le VIH bénéficiant actuellement d'un traitement antirétroviral</t>
  </si>
  <si>
    <t>Indicador de cobertura: 
Porcentaje de personas que viven con el VIH  que actualmente reciben tratamiento antirretroviral</t>
  </si>
  <si>
    <r>
      <rPr>
        <sz val="11"/>
        <rFont val="Calibri"/>
        <family val="2"/>
      </rPr>
      <t>Population cible</t>
    </r>
  </si>
  <si>
    <r>
      <rPr>
        <sz val="11"/>
        <rFont val="Calibri"/>
        <family val="2"/>
      </rPr>
      <t>Couverture nationale actuelle</t>
    </r>
  </si>
  <si>
    <t>Cible du pays :
1) Se rapporte au plan stratégique national ou à toute autre cible du pays approuvée plus récemment
2) « # » correspond au nombre total de personnes devant être sous traitement antirétroviral
3) « % » correspond au nombre d'adultes et d'enfants censés être sous traitement antirétroviral dans l'ensemble des adultes et des enfants vivant avec le VIH</t>
  </si>
  <si>
    <r>
      <rPr>
        <sz val="11"/>
        <rFont val="Calibri"/>
        <family val="2"/>
      </rPr>
      <t>Indiquez les résultats les plus récents</t>
    </r>
  </si>
  <si>
    <t>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t>
  </si>
  <si>
    <r>
      <rPr>
        <sz val="11"/>
        <rFont val="Calibri"/>
        <family val="2"/>
      </rPr>
      <t>Année</t>
    </r>
  </si>
  <si>
    <t>brecha programática: la brecha programática se calcula en base a la necesidad total (fila A).</t>
  </si>
  <si>
    <r>
      <rPr>
        <sz val="11"/>
        <rFont val="Calibri"/>
        <family val="2"/>
      </rPr>
      <t>Source des données</t>
    </r>
  </si>
  <si>
    <r>
      <rPr>
        <sz val="11"/>
        <rFont val="Calibri"/>
        <family val="2"/>
      </rPr>
      <t>Observations</t>
    </r>
  </si>
  <si>
    <r>
      <rPr>
        <sz val="11"/>
        <rFont val="Calibri"/>
        <family val="2"/>
      </rPr>
      <t>PTME - Prévention de la transmission verticale du VIH</t>
    </r>
  </si>
  <si>
    <r>
      <rPr>
        <sz val="11"/>
        <rFont val="Calibri"/>
        <family val="2"/>
      </rPr>
      <t>Année 1</t>
    </r>
  </si>
  <si>
    <t>Indicateur de couverture : 
Pourcentage de femmes enceintes séropositives au VIH ayant reçu des antirétroviraux durant leur grossesse</t>
  </si>
  <si>
    <t>Indicador de cobertura: 
Porcentaje de mujeres embarazadas VIH positivas que recibieron TARV durante el embarazo</t>
  </si>
  <si>
    <r>
      <rPr>
        <sz val="11"/>
        <rFont val="Calibri"/>
        <family val="2"/>
      </rPr>
      <t>Année 2</t>
    </r>
  </si>
  <si>
    <t>Estimation des populations dans le besoin/à risque :
Se rapporte au nombre estimé de femmes enceintes séropositives.</t>
  </si>
  <si>
    <r>
      <rPr>
        <sz val="11"/>
        <rFont val="Calibri"/>
        <family val="2"/>
      </rPr>
      <t>Année 3</t>
    </r>
  </si>
  <si>
    <r>
      <rPr>
        <sz val="11"/>
        <rFont val="Calibri"/>
        <family val="2"/>
      </rPr>
      <t>Indiquez l'année</t>
    </r>
  </si>
  <si>
    <t>Brecha programática:
La brecha programática se calcula en base a la necesidad total (fila A).</t>
  </si>
  <si>
    <r>
      <rPr>
        <sz val="11"/>
        <rFont val="Calibri"/>
        <family val="2"/>
      </rPr>
      <t>Observations/Hypothèses</t>
    </r>
  </si>
  <si>
    <r>
      <rPr>
        <sz val="11"/>
        <rFont val="Calibri"/>
        <family val="2"/>
      </rPr>
      <t>Estimation des besoins actuels du pays</t>
    </r>
  </si>
  <si>
    <r>
      <rPr>
        <sz val="11"/>
        <rFont val="Calibri"/>
        <family val="2"/>
      </rPr>
      <t>B. Cibles du pays
(à partir du plan stratégique national)</t>
    </r>
  </si>
  <si>
    <r>
      <rPr>
        <sz val="11"/>
        <rFont val="Calibri"/>
        <family val="2"/>
      </rPr>
      <t>Besoins du pays déjà couverts</t>
    </r>
  </si>
  <si>
    <r>
      <rPr>
        <sz val="11"/>
        <rFont val="Calibri"/>
        <family val="2"/>
      </rPr>
      <t>C1. Besoins du pays devant être couverts par des ressources nationales</t>
    </r>
  </si>
  <si>
    <r>
      <rPr>
        <sz val="11"/>
        <rFont val="Calibri"/>
        <family val="2"/>
      </rPr>
      <t>C2. Besoins du pays devant être couverts par des ressources extérieures</t>
    </r>
  </si>
  <si>
    <r>
      <rPr>
        <sz val="11"/>
        <rFont val="Calibri"/>
        <family val="2"/>
      </rPr>
      <t>Déficit programmatique</t>
    </r>
  </si>
  <si>
    <t>Estimation des populations dans le besoin/à risque :
Se rapporte au nombre total de patients tuberculeux (nouveaux cas et récidives) enregistrés</t>
  </si>
  <si>
    <r>
      <rPr>
        <sz val="11"/>
        <rFont val="Calibri"/>
        <family val="2"/>
      </rPr>
      <t>Besoins du pays couverts par la somme allouée</t>
    </r>
  </si>
  <si>
    <r>
      <rPr>
        <sz val="11"/>
        <rFont val="Calibri"/>
        <family val="2"/>
      </rPr>
      <t>E. Cibles devant être financées par la somme allouée</t>
    </r>
  </si>
  <si>
    <r>
      <rPr>
        <sz val="11"/>
        <rFont val="Calibri"/>
        <family val="2"/>
      </rPr>
      <t>Observations/Hypothèses :
1) Indiquez la zone cible
2) Précisez qui sont les autres sources de financement</t>
    </r>
  </si>
  <si>
    <r>
      <rPr>
        <sz val="11"/>
        <rFont val="Calibri"/>
        <family val="2"/>
      </rPr>
      <t xml:space="preserve">G. Déficit restant : A - F </t>
    </r>
  </si>
  <si>
    <t>Indicateur de couverture :
Pourcentage de nouveaux patients  tuberculeux et de rechutes, séropositifs au VIH, sous traitement antirétroviral au cours du traitement de la tuberculose</t>
  </si>
  <si>
    <t>Indicador de cobertura: Porcentaje de casos de TB nuevos y recaídas VIH+ en TARV durante el tratamiento para la tuberculosis</t>
  </si>
  <si>
    <t>Estimation des populations dans le besoin/à risque :
Correspond au nombre total de patients tuberculeux (nouveaux cas et récidives) et séropositifs que l'on s'attend à enregistrer sur la période</t>
  </si>
  <si>
    <r>
      <rPr>
        <sz val="11"/>
        <rFont val="Calibri"/>
        <family val="2"/>
      </rPr>
      <t>Circoncision masculine</t>
    </r>
  </si>
  <si>
    <r>
      <rPr>
        <sz val="11"/>
        <rFont val="Calibri"/>
        <family val="2"/>
      </rPr>
      <t xml:space="preserve">Nombre de circoncisions médicales pratiquées </t>
    </r>
  </si>
  <si>
    <r>
      <rPr>
        <sz val="11"/>
        <rFont val="Calibri"/>
        <family val="2"/>
      </rPr>
      <t>Cible nationale déjà couverte</t>
    </r>
  </si>
  <si>
    <r>
      <rPr>
        <sz val="11"/>
        <rFont val="Calibri"/>
        <family val="2"/>
      </rPr>
      <t>C1. Cible nationale devant être couverte par des ressources nationales</t>
    </r>
  </si>
  <si>
    <r>
      <rPr>
        <sz val="11"/>
        <rFont val="Calibri"/>
        <family val="2"/>
      </rPr>
      <t>C2. Cible nationale devant être couverte par des ressources extérieures</t>
    </r>
  </si>
  <si>
    <r>
      <rPr>
        <sz val="11"/>
        <rFont val="Calibri"/>
        <family val="2"/>
      </rPr>
      <t xml:space="preserve">Observations/Hypothèses :
1) Indiquez la zone cible
2) Précisez qui sont les autres sources de financement
3) Spécifiez les interventions incluses dans l'ensemble de services. L'ensemble de services doit faire référence à un ensemble d'interventions qui doivent être réalisées auprès des personnes et en fonction desquelles ces personnes sont ou non inclues dans les résultats. Les personnes doivent donc être comptabilisées uniquement lorsqu'elles ont bénéficié de l'intégralité des interventions de l'ensemble défini de services. </t>
    </r>
  </si>
  <si>
    <r>
      <rPr>
        <sz val="11"/>
        <rFont val="Calibri"/>
        <family val="2"/>
      </rPr>
      <t>Cible nationale déjà couverte par la somme allouée</t>
    </r>
  </si>
  <si>
    <r>
      <rPr>
        <sz val="11"/>
        <rFont val="Calibri"/>
        <family val="2"/>
      </rPr>
      <t xml:space="preserve">G. Déficit restant : B - F </t>
    </r>
  </si>
  <si>
    <t xml:space="preserve">Indicateur de couverture : Pourcentage de personnes appartenant aux populations clés, qui ont effectué un test de dépistage du VIH pendant la période de rapportage de l'information et qui en connaissent le résultat </t>
  </si>
  <si>
    <t>Toutes les cibles en % des rangées C à G sont basées sur les valeurs numériques de la rangée B.</t>
  </si>
  <si>
    <r>
      <rPr>
        <sz val="11"/>
        <rFont val="Calibri"/>
        <family val="2"/>
      </rPr>
      <t>Tableau des déficits programmatiques - Prophylaxie pré-exposition</t>
    </r>
  </si>
  <si>
    <t>Programas de prevención para personas que se inyectan drogas y sus parejas - Programas de agujas y jeringuillas</t>
  </si>
  <si>
    <r>
      <rPr>
        <sz val="11"/>
        <rFont val="Calibri"/>
        <family val="2"/>
      </rPr>
      <t>Tableau des déficits programmatiques pour le VIH/sida - Préservatifs</t>
    </r>
  </si>
  <si>
    <t xml:space="preserve">Tabla de brecha programática para el VIH/SIDA - Preservativos </t>
  </si>
  <si>
    <r>
      <rPr>
        <sz val="11"/>
        <rFont val="Calibri"/>
        <family val="2"/>
      </rPr>
      <t xml:space="preserve">Indicateur de couverture : Nombre d'aiguilles et de seringues distribuées </t>
    </r>
  </si>
  <si>
    <r>
      <rPr>
        <sz val="11"/>
        <rFont val="Calibri"/>
        <family val="2"/>
      </rPr>
      <t xml:space="preserve">Tool to Set and Monitor Targets for HIV Prevention, Diagnosis, Treatment and Care for Key Populations, juillet 2015 (pages 40 et 41)
http://apps.who.int/iris/bitstream/10665/177992/1/9789241508995_eng.pdf?ua=1&amp;ua=1 </t>
    </r>
  </si>
  <si>
    <r>
      <rPr>
        <sz val="11"/>
        <rFont val="Calibri"/>
        <family val="2"/>
      </rPr>
      <t>B1. Cibles du pays- préservatifs masculins
(à partir du plan stratégique national)</t>
    </r>
  </si>
  <si>
    <r>
      <rPr>
        <sz val="11"/>
        <rFont val="Calibri"/>
        <family val="2"/>
      </rPr>
      <t>B2. Cibles du pays- préservatifs féminins
(à partir du plan stratégique national)</t>
    </r>
  </si>
  <si>
    <r>
      <rPr>
        <sz val="11"/>
        <rFont val="Calibri"/>
        <family val="2"/>
      </rPr>
      <t>Cible nationale déjà couverte par des sources de financement</t>
    </r>
  </si>
  <si>
    <r>
      <rPr>
        <sz val="11"/>
        <rFont val="Calibri"/>
        <family val="2"/>
      </rPr>
      <t>C3 Total de la cible nationale qui devrait être couvert (C1 + C2)</t>
    </r>
  </si>
  <si>
    <r>
      <rPr>
        <sz val="11"/>
        <rFont val="Calibri"/>
        <family val="2"/>
      </rPr>
      <t>Cible nationale déjà couverte par type de préservatif</t>
    </r>
  </si>
  <si>
    <r>
      <rPr>
        <sz val="11"/>
        <rFont val="Calibri"/>
        <family val="2"/>
      </rPr>
      <t>C4. Cible nationale qui devrait être couverte (ressources nationales et extérieures) - préservatifs masculins</t>
    </r>
  </si>
  <si>
    <r>
      <rPr>
        <sz val="11"/>
        <rFont val="Calibri"/>
        <family val="2"/>
      </rPr>
      <t>C5. Cible nationale qui devrait être couverte (ressources nationales et extérieures) - préservatifs féminins</t>
    </r>
  </si>
  <si>
    <r>
      <rPr>
        <sz val="11"/>
        <rFont val="Calibri"/>
        <family val="2"/>
      </rPr>
      <t>C6. Total de la cible nationale qui devrait être couvert (masculins + féminins) (C1 + C2)</t>
    </r>
  </si>
  <si>
    <r>
      <rPr>
        <sz val="11"/>
        <rFont val="Calibri"/>
        <family val="2"/>
      </rPr>
      <t>D1. Déficit annuel attendu par rapport aux besoins - préservatifs masculins : B1 - C4</t>
    </r>
  </si>
  <si>
    <r>
      <rPr>
        <sz val="11"/>
        <rFont val="Calibri"/>
        <family val="2"/>
      </rPr>
      <t>D2. Déficit annuel attendu par rapport aux besoins - préservatifs féminins : B2 - C5</t>
    </r>
  </si>
  <si>
    <t>Estimation des populations dans le besoin/à risque :
Correspond à l'effectif estimé des populations clé spécifiée pendant l'année indiquée 
Indiquez les source de données/les références/les hypothèses utilisées pour estimer la taille des populations dans le besoin dans la cellule des observations.</t>
  </si>
  <si>
    <r>
      <rPr>
        <sz val="11"/>
        <rFont val="Calibri"/>
        <family val="2"/>
      </rPr>
      <t>E1. Cibles devant être financées par la somme allouée - préservatifs masculins</t>
    </r>
  </si>
  <si>
    <t>Brecha programática:
La brecha programática se calcula de forma automática en base a la meta del país (fila B)</t>
  </si>
  <si>
    <r>
      <rPr>
        <sz val="11"/>
        <rFont val="Calibri"/>
        <family val="2"/>
      </rPr>
      <t>E2. Cibles devant être financées par la somme allouée - préservatifs féminins</t>
    </r>
  </si>
  <si>
    <r>
      <rPr>
        <sz val="11"/>
        <rFont val="Calibri"/>
        <family val="2"/>
      </rPr>
      <t>F1. Couverture par la somme allouée et d'autres ressources - préservatifs masculins :
 E1 + C4</t>
    </r>
  </si>
  <si>
    <r>
      <rPr>
        <sz val="11"/>
        <rFont val="Calibri"/>
        <family val="2"/>
      </rPr>
      <t>F2. Couverture par la somme allouée et d'autres ressources - préservatifs féminins :
 E2 + C5</t>
    </r>
  </si>
  <si>
    <r>
      <rPr>
        <sz val="11"/>
        <rFont val="Calibri"/>
        <family val="2"/>
      </rPr>
      <t xml:space="preserve">Indicateur de couverture : Nombre de préservatifs distribués (masculins et féminins) </t>
    </r>
  </si>
  <si>
    <r>
      <rPr>
        <sz val="11"/>
        <rFont val="Calibri"/>
        <family val="2"/>
      </rPr>
      <t>G1. Déficit restant - préservatifs masculins : B1 - F1</t>
    </r>
  </si>
  <si>
    <r>
      <rPr>
        <sz val="11"/>
        <rFont val="Calibri"/>
        <family val="2"/>
      </rPr>
      <t>G2. Déficit restant - préservatifs féminins : B2 - F2</t>
    </r>
  </si>
  <si>
    <t>Toutes les cibles en % des rangées C à G sont basées sur les valeurs numériques des rangées B1 et B2.</t>
  </si>
  <si>
    <r>
      <rPr>
        <sz val="11"/>
        <rFont val="Calibri"/>
        <family val="2"/>
      </rPr>
      <t>Nombre de préservatifs et de lubrifiants distribués (masculins et féminins)</t>
    </r>
  </si>
  <si>
    <r>
      <rPr>
        <sz val="11"/>
        <rFont val="Calibri"/>
        <family val="2"/>
      </rPr>
      <t xml:space="preserve">Nombre d'aiguilles et de seringues distribuées </t>
    </r>
  </si>
  <si>
    <r>
      <rPr>
        <sz val="11"/>
        <rFont val="Calibri"/>
        <family val="2"/>
      </rPr>
      <t>Tableau des déficits programmatiques pour le VIH/sida - Programmes de distribution d'aiguilles et de seringues</t>
    </r>
  </si>
  <si>
    <t xml:space="preserve">Tabla de brecha programática para el VIH/SIDA - Programas de agujas y jeringuillas </t>
  </si>
  <si>
    <r>
      <rPr>
        <sz val="11"/>
        <rFont val="Calibri"/>
        <family val="2"/>
      </rPr>
      <t>Nombre d'aiguilles et de seringues à distribuer par personne et par an</t>
    </r>
  </si>
  <si>
    <r>
      <rPr>
        <sz val="11"/>
        <rFont val="Calibri"/>
        <family val="2"/>
      </rPr>
      <t>A. Nombre total d'aiguilles et de seringues nécessaire</t>
    </r>
  </si>
  <si>
    <r>
      <rPr>
        <sz val="11"/>
        <rFont val="Calibri"/>
        <family val="2"/>
      </rPr>
      <t>B. Cible du pays - Nombre d'aiguilles et de seringues à distribuer (à partir du plan stratégique national)</t>
    </r>
  </si>
  <si>
    <r>
      <rPr>
        <sz val="11"/>
        <rFont val="Calibri"/>
        <family val="2"/>
      </rPr>
      <t>Indicateur de couverture : nombre de circoncisions médicales pratiquées selon les normes nationales</t>
    </r>
  </si>
  <si>
    <r>
      <rPr>
        <sz val="11"/>
        <rFont val="Calibri"/>
        <family val="2"/>
      </rPr>
      <t>E. Cibles devant être financées par la somme allouée - aiguilles et seringues</t>
    </r>
  </si>
  <si>
    <t>Estimation des populations dans le besoin/à risque : 
Correspond au nombre estimé d'hommes qui répondent aux critères de la circoncision</t>
  </si>
  <si>
    <r>
      <rPr>
        <sz val="11"/>
        <rFont val="Calibri"/>
        <family val="2"/>
      </rPr>
      <t>G. Déficit restant - aiguilles et seringues : B - F</t>
    </r>
  </si>
  <si>
    <t>Cible nationale déjà couverte :
La cible du pays déjà couverte est ventilée selon l'origine des ressources, ressources nationales (rangée C1) et ressources extérieures (rangée C2). Les investissements du secteur privé national doivent figurer dans les sources nationales. Dans les cas où une partie de la cible est couverte pendant l'année par une subvention en cours du Fonds mondial (se terminant avant le début de la nouvelle période de mise en œuvre), le montant correspondant peut être inclus dans la catégorie des ressources extérieures. 
Une fois les rangées C1 et C2 remplies, le total de la cible nationale déjà couvert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t>
  </si>
  <si>
    <t>Déficit programmatique :
Le déficit programmatique est calculé à partir de la cible du pays (rangée B).</t>
  </si>
  <si>
    <t xml:space="preserve">Observations/Hypothèses :
1) Indiquez la zone cible
2) Précisez qui sont les autres sources de financement
3) Avec les cibles du pays, dans la colonne destinée aux observations, indiquez la proportion d'hommes circoncis (couverture actuelle et ciblée, qui doit inclure le nombre cumulé d'hommes circoncis) à partir des données disponibles provenant d'enquêtes ou de programmes </t>
  </si>
  <si>
    <r>
      <rPr>
        <sz val="11"/>
        <rFont val="Calibri"/>
        <family val="2"/>
      </rPr>
      <t>Veuillez lire attentivement la feuille Instructions avant de compléter le tableau d'analyse des déficits programmatiques.</t>
    </r>
  </si>
  <si>
    <r>
      <rPr>
        <sz val="11"/>
        <rFont val="Calibri"/>
        <family val="2"/>
      </rPr>
      <t>Pour remplir cette feuille de présentation, sélectionnez un lieu géographique et un type de candidat dans les listes déroulantes.</t>
    </r>
  </si>
  <si>
    <r>
      <rPr>
        <sz val="11"/>
        <rFont val="Calibri"/>
        <family val="2"/>
      </rPr>
      <t>Candidat</t>
    </r>
  </si>
  <si>
    <r>
      <rPr>
        <sz val="11"/>
        <rFont val="Calibri"/>
        <family val="2"/>
      </rPr>
      <t>Composante</t>
    </r>
  </si>
  <si>
    <r>
      <rPr>
        <sz val="11"/>
        <rFont val="Calibri"/>
        <family val="2"/>
      </rPr>
      <t>Type de candidat</t>
    </r>
  </si>
  <si>
    <r>
      <rPr>
        <sz val="11"/>
        <rFont val="Calibri"/>
        <family val="2"/>
      </rPr>
      <t xml:space="preserve">Veuillez lire attentivement les consignes données dans l'onglet « Instructions » avant de compléter le tableau d'analyse des déficits programmatiques. 
Les instructions ont été adaptées à chaque module/intervention. </t>
    </r>
  </si>
  <si>
    <t xml:space="preserve">Lea detenidamente las instrucciones en la pestaña "Instrucciones" antes de completar la tabla de análisis de brecha programática. Las instrucciones se han adaptado a cada módulo o intervención específicos. </t>
  </si>
  <si>
    <r>
      <t xml:space="preserve">Treatment, Care and Support- Differentiated ART Service Delivery </t>
    </r>
    <r>
      <rPr>
        <sz val="11"/>
        <color rgb="FFFF0000"/>
        <rFont val="Arial"/>
        <family val="2"/>
      </rPr>
      <t>and care</t>
    </r>
    <r>
      <rPr>
        <sz val="11"/>
        <rFont val="Arial"/>
        <family val="2"/>
      </rPr>
      <t xml:space="preserve"> (to be completed separately for adults and children)</t>
    </r>
  </si>
  <si>
    <r>
      <rPr>
        <sz val="11"/>
        <rFont val="Calibri"/>
        <family val="2"/>
      </rPr>
      <t>Sélectionner…</t>
    </r>
  </si>
  <si>
    <t>Pourcentage de personnes vivant avec le VIH bénéficiant actuellement d'un traitement antirétroviral</t>
  </si>
  <si>
    <t>Porcentaje de personas que viven con el VIH  que actualmente reciben tratamiento antirretroviral</t>
  </si>
  <si>
    <r>
      <rPr>
        <sz val="11"/>
        <rFont val="Calibri"/>
        <family val="2"/>
      </rPr>
      <t>PTME</t>
    </r>
  </si>
  <si>
    <t>Pourcentage de femmes enceintes séropositives au VIH ayant reçu des antirétroviraux durant leur grossesse</t>
  </si>
  <si>
    <t>Porcentaje de mujeres embarazadas VIH positivas que recibieron TARV durante el embarazo</t>
  </si>
  <si>
    <r>
      <rPr>
        <sz val="11"/>
        <rFont val="Calibri"/>
        <family val="2"/>
      </rPr>
      <t>Proportion de patients tuberculeux (nouveaux cas et récidives) séropositifs au VIH sous traitement antirétroviral pendant leur traitement antituberculeux</t>
    </r>
  </si>
  <si>
    <t>Porcentaje de pacientes seropositivos con tuberculosis (casos nuevos y recaídas) que reciben tratamiento antirretroviral durante su tratamiento para la tuberculosis.</t>
  </si>
  <si>
    <t>Programmes de prévention pour les populations clés_Paquet de services définis</t>
  </si>
  <si>
    <t>Pourcentage de personnes appartenant aux populations clés atteintes par des programmes de prévention - paquet de services définis</t>
  </si>
  <si>
    <r>
      <rPr>
        <sz val="11"/>
        <rFont val="Calibri"/>
        <family val="2"/>
      </rPr>
      <t xml:space="preserve">Pourcentage de personnes appartenant aux populations clés, qui ont effectué un test de dépistage du VIH pendant la période de communication de l'information et qui en connaissent le résultat </t>
    </r>
  </si>
  <si>
    <t>Programmes de prévention destinés aux usagers de drogues injectables et à leurs partenaires_Programmes liés aux aiguilles et de seringues</t>
  </si>
  <si>
    <t>Programas de prevención integral para personas que se inyectan drogas y sus parejas_Programas de agujas y jeringuillas</t>
  </si>
  <si>
    <t>Programmes de prévention destinés aux usagers de drogues injectables et à leurs partenaires_Traitements de substitution aux opiacés et autres traitements de la dépendance pour les usagers de drogues injectables</t>
  </si>
  <si>
    <t>Programas de prevención integral para personas que se inyectan drogas y sus parejas_Terapia de sustitución de opiáceos y otros tratamientos para la drogodependencia de personas que se inyectan drogas</t>
  </si>
  <si>
    <r>
      <t xml:space="preserve">Treatment Care and Support_Differentiated ART Service Delivery </t>
    </r>
    <r>
      <rPr>
        <sz val="11"/>
        <color rgb="FFFF0000"/>
        <rFont val="Calibri"/>
        <family val="2"/>
        <scheme val="minor"/>
      </rPr>
      <t>and care</t>
    </r>
  </si>
  <si>
    <t>VIH/SIDA - Tabla de brecha programática 1 (por intervención prioritaria)</t>
  </si>
  <si>
    <t>VIH/SIDA - Tabla de brecha programática 2 (por intervención prioritaria)</t>
  </si>
  <si>
    <t>VIH/SIDA - Tabla de brecha programática 3 (por intervención prioritaria)</t>
  </si>
  <si>
    <t>VIH/SIDA - Tabla de brecha programática 4 (por intervención prioritaria)</t>
  </si>
  <si>
    <t>VIH/SIDA - Tabla de brecha programática 5 (por intervención prioritaria)</t>
  </si>
  <si>
    <t>VIH/SIDA - Tabla de brecha programática 6 (por intervención prioritaria)</t>
  </si>
  <si>
    <r>
      <t xml:space="preserve">Priority modules for HIV: Prevention programs for </t>
    </r>
    <r>
      <rPr>
        <sz val="11"/>
        <color rgb="FFFF0000"/>
        <rFont val="Calibri"/>
        <family val="2"/>
        <scheme val="minor"/>
      </rPr>
      <t xml:space="preserve">non-specified </t>
    </r>
    <r>
      <rPr>
        <sz val="11"/>
        <color theme="1"/>
        <rFont val="Calibri"/>
        <family val="2"/>
        <scheme val="minor"/>
      </rPr>
      <t>population</t>
    </r>
  </si>
  <si>
    <t>Adult living with HIV (15 and above)</t>
  </si>
  <si>
    <t>Children living with HIV (under 15)</t>
  </si>
  <si>
    <t>Coverage indicator: Percentage of eligible key populations who initiated oral antiretroviral PrEP in the last 12 months</t>
  </si>
  <si>
    <t>Treatment Care and Support_Differentiated ART Service Delivery and care</t>
  </si>
  <si>
    <r>
      <t xml:space="preserve">Coverage Indicator:
</t>
    </r>
    <r>
      <rPr>
        <sz val="11"/>
        <color rgb="FFFF0000"/>
        <rFont val="Arial"/>
        <family val="2"/>
      </rPr>
      <t>Percentage</t>
    </r>
    <r>
      <rPr>
        <sz val="11"/>
        <rFont val="Arial"/>
        <family val="2"/>
      </rPr>
      <t xml:space="preserve"> of registered new and relapse TB patients with documented HIV status</t>
    </r>
  </si>
  <si>
    <t>Differentiated HIV testing services</t>
  </si>
  <si>
    <r>
      <rPr>
        <sz val="11"/>
        <rFont val="Arial"/>
        <family val="2"/>
      </rPr>
      <t>A. Total estimated priority population in need</t>
    </r>
    <r>
      <rPr>
        <sz val="11"/>
        <color rgb="FFFF0000"/>
        <rFont val="Arial"/>
        <family val="2"/>
      </rPr>
      <t xml:space="preserve"> (HIV prevention)</t>
    </r>
  </si>
  <si>
    <r>
      <t>C1. Country target planned to be covered by domestic resources</t>
    </r>
    <r>
      <rPr>
        <sz val="11"/>
        <color rgb="FFFF0000"/>
        <rFont val="Arial"/>
        <family val="2"/>
      </rPr>
      <t>, including private sector where available</t>
    </r>
  </si>
  <si>
    <r>
      <rPr>
        <sz val="11"/>
        <color rgb="FFFF0000"/>
        <rFont val="Arial"/>
        <family val="2"/>
      </rPr>
      <t>all priority</t>
    </r>
    <r>
      <rPr>
        <sz val="11"/>
        <rFont val="Arial"/>
        <family val="2"/>
      </rPr>
      <t xml:space="preserve"> populations</t>
    </r>
  </si>
  <si>
    <r>
      <t xml:space="preserve">C2. Country target planned to be covered by </t>
    </r>
    <r>
      <rPr>
        <sz val="11"/>
        <color rgb="FFFF0000"/>
        <rFont val="Arial"/>
        <family val="2"/>
      </rPr>
      <t>external resources</t>
    </r>
  </si>
  <si>
    <t>non-specified population</t>
  </si>
  <si>
    <t>people in prisons and other closed settings</t>
  </si>
  <si>
    <t>men in high prevalence settings</t>
  </si>
  <si>
    <t>Prevention - key populations</t>
  </si>
  <si>
    <t>Prevention - key populations-PrEP</t>
  </si>
  <si>
    <t>Percentage of eligible key populations who initiated oral antiretroviral PrEP in the last 12 months</t>
  </si>
  <si>
    <t>Prevention- key populations</t>
  </si>
  <si>
    <r>
      <t xml:space="preserve">Coverage indicator: Number of condoms </t>
    </r>
    <r>
      <rPr>
        <sz val="11"/>
        <color rgb="FFFF0000"/>
        <rFont val="Arial"/>
        <family val="2"/>
      </rPr>
      <t>distributed by the program</t>
    </r>
    <r>
      <rPr>
        <sz val="11"/>
        <rFont val="Arial"/>
        <family val="2"/>
      </rPr>
      <t xml:space="preserve"> (male and female) </t>
    </r>
    <r>
      <rPr>
        <sz val="11"/>
        <color rgb="FFFF0000"/>
        <rFont val="Arial"/>
        <family val="2"/>
      </rPr>
      <t>- all priority populations</t>
    </r>
  </si>
  <si>
    <r>
      <rPr>
        <sz val="11"/>
        <color rgb="FFFF0000"/>
        <rFont val="Arial"/>
        <family val="2"/>
      </rPr>
      <t xml:space="preserve">Total number of condoms needed (B1 - B2): </t>
    </r>
    <r>
      <rPr>
        <sz val="11"/>
        <rFont val="Arial"/>
        <family val="2"/>
      </rPr>
      <t xml:space="preserve">
1) Refers to NSP or any other latest agreed country target
2) # refers to the number of male and female condoms expected to be distributed by the program based on expected coverage of </t>
    </r>
    <r>
      <rPr>
        <sz val="11"/>
        <color rgb="FFFF0000"/>
        <rFont val="Arial"/>
        <family val="2"/>
      </rPr>
      <t>all priority</t>
    </r>
    <r>
      <rPr>
        <sz val="11"/>
        <rFont val="Arial"/>
        <family val="2"/>
      </rPr>
      <t xml:space="preserve"> population</t>
    </r>
    <r>
      <rPr>
        <sz val="11"/>
        <color rgb="FFFF0000"/>
        <rFont val="Arial"/>
        <family val="2"/>
      </rPr>
      <t>s</t>
    </r>
  </si>
  <si>
    <r>
      <t xml:space="preserve">Programmatic Gap:
</t>
    </r>
    <r>
      <rPr>
        <sz val="11"/>
        <color rgb="FFFF0000"/>
        <rFont val="Arial"/>
        <family val="2"/>
      </rPr>
      <t>The programmatic gap for male and female condoms is automatically calculated based on country targets (B1 and B2)</t>
    </r>
  </si>
  <si>
    <r>
      <t xml:space="preserve">Comments/Assumptions:
1) Specify forecast methodology used in comments box (row A1 and A2) 
2) Specify if estimate includes condoms needed for family planning, in addition to number required for HIV prevention programs (row A1 and A2)                                                                                                                                         
</t>
    </r>
    <r>
      <rPr>
        <sz val="11"/>
        <color rgb="FFFF0000"/>
        <rFont val="Arial"/>
        <family val="2"/>
      </rPr>
      <t>3) Specify what is the expected coverage of the various priority populations targeted for condom promotion and distribution- rows B1-B2 and E1-E2</t>
    </r>
    <r>
      <rPr>
        <sz val="11"/>
        <rFont val="Arial"/>
        <family val="2"/>
      </rPr>
      <t xml:space="preserve">
4) Specify who are the other sources of funding</t>
    </r>
  </si>
  <si>
    <r>
      <t xml:space="preserve">To begin completing each table </t>
    </r>
    <r>
      <rPr>
        <sz val="11"/>
        <color rgb="FFFF0000"/>
        <rFont val="Arial"/>
        <family val="2"/>
      </rPr>
      <t>under the “HIV Tables” tab</t>
    </r>
    <r>
      <rPr>
        <sz val="11"/>
        <color theme="1"/>
        <rFont val="Arial"/>
        <family val="2"/>
      </rPr>
      <t xml:space="preserve">, specify the desired priority module/intervention by selecting from the drop-down list provided next to the "Priority Module" line. The corresponding coverage indicator will then appear automatically. Blank cells highlighted in white require input. Cells highlighted in purple will then be filled automatically.
Once the module/intervention has been selected, specify the target population from the drop-down list provided next to the "Target Population" line.
For prevention related modules, complete a separate gap analysis table for each key population targeted by the program, </t>
    </r>
    <r>
      <rPr>
        <sz val="11"/>
        <color rgb="FFFF0000"/>
        <rFont val="Arial"/>
        <family val="2"/>
      </rPr>
      <t>except for the condom gap table</t>
    </r>
    <r>
      <rPr>
        <sz val="11"/>
        <color theme="1"/>
        <rFont val="Arial"/>
        <family val="2"/>
      </rPr>
      <t xml:space="preserve">. For ART, it is encouraged to complete separate tables for adults and for children, however the option to complete in aggregate is also provided.
Most tables are to be completed on the "HIV Tables" tab; however, customized tables for male circumcision, PrEP, condoms and needle and syringe programmes can be found on separate tabs. </t>
    </r>
    <r>
      <rPr>
        <sz val="11"/>
        <color rgb="FFFF0000"/>
        <rFont val="Arial"/>
        <family val="2"/>
      </rPr>
      <t>For these tables, the Priority Module line has been pre-filled. Please note that only one table is to be completed for priority populations. Separate tables by population are not required.
Please note that the condoms and male circumcision tables calculate the programmatic gap based on country target, not country need.</t>
    </r>
    <r>
      <rPr>
        <sz val="11"/>
        <color theme="1"/>
        <rFont val="Arial"/>
        <family val="2"/>
      </rPr>
      <t xml:space="preserve">
If submitting separate TB and HIV funding requests, gap analysis tables for TB/HIV interventions should be included in both the TB and HIV requests. In the case of a joint TB/HIV request, please complete the tables provided in the joint TB/HIV programmatic gap Excel file.
The following instructions provide detailed information on how to complete the gap table for each module. Note that the TB/HIV collaborative intervention has several coverage indicators and therefore separate tables are to be completed. Remember, complete tables for only 3-6 priority modules.</t>
    </r>
  </si>
  <si>
    <t>Estimated population in need/at risk:
This refers to all adults and children living with HIV</t>
  </si>
  <si>
    <t>Comments/Assumptions:
1) Specify the target area in case of sub-national coverage
2) Specify who are the other sources of funding</t>
  </si>
  <si>
    <t>TB/HIV- TB patients with known HIV status</t>
  </si>
  <si>
    <t>Estimated population in need/at risk:
Refers to the total number of expected HIV positive new and relapse TB patients registered in the period</t>
  </si>
  <si>
    <t>TB/HIV - TB screening among HIV patients</t>
  </si>
  <si>
    <t>Country target:
1) Refers to NSP or any other latest agreed country target.
2) "#" refers to the number of HIV-positive pregnant women who are expected to receive antiretroviral drugs to reduce the risk of mother-to-child transmission during pregnancy and delivery.
3) "%" refers to the percentage of HIV-positive pregnant women who receive antiretrovirals to reduce the risk of mother-to-child transmission among the total estimated HIV-positive pregnant women.</t>
  </si>
  <si>
    <t>TB/HIV - HIV positive TB patients on ART</t>
  </si>
  <si>
    <r>
      <rPr>
        <b/>
        <sz val="11"/>
        <rFont val="Arial"/>
        <family val="2"/>
      </rPr>
      <t>Differentiated HIV testing services</t>
    </r>
    <r>
      <rPr>
        <sz val="11"/>
        <rFont val="Arial"/>
        <family val="2"/>
      </rPr>
      <t xml:space="preserve">
Please complete separate tables for each of the targeted populations- e.g. sex workers and their clients; men who have sex with men; transgender people; people who inject drugs and their partners; </t>
    </r>
    <r>
      <rPr>
        <sz val="11"/>
        <color rgb="FFFF0000"/>
        <rFont val="Arial"/>
        <family val="2"/>
      </rPr>
      <t>people in prisons and other closed settings; adolescent girls and young women in high prevalence settings; men in high prevalence settings</t>
    </r>
    <r>
      <rPr>
        <sz val="11"/>
        <rFont val="Arial"/>
        <family val="2"/>
      </rPr>
      <t xml:space="preserve"> and, other vulnerable populations, as relevant to the funding request. Select the relevant population using the drop-down list provided next to the "Target Population" line.  If "other vulnerable populations", please specify name in the comments section below.</t>
    </r>
  </si>
  <si>
    <r>
      <t xml:space="preserve">Prevention programs for key populations- defined package of services
Please complete separate tables for each of the targeted key populations- e.g. sex workers and their clients; men who have sex with men; transgender people; people who inject drugs and their partners; </t>
    </r>
    <r>
      <rPr>
        <sz val="11"/>
        <color rgb="FFFF0000"/>
        <rFont val="Arial"/>
        <family val="2"/>
      </rPr>
      <t>people in prisons and other closed settings; adolescent girls and young women in high prevalence settings; men in high prevalence settings</t>
    </r>
    <r>
      <rPr>
        <sz val="11"/>
        <rFont val="Arial"/>
        <family val="2"/>
      </rPr>
      <t xml:space="preserve"> and, other vulnerable populations, as relevant to the funding request. Once this module has been selected, select the desired key population using the drop-down list provided next to the "Target Population" line. If "other vulnerable populations", please specify in the comments section. </t>
    </r>
  </si>
  <si>
    <r>
      <t>Estimated population in need/ at risk:
Refers to estimated number of people in the specified key population in the specified year</t>
    </r>
    <r>
      <rPr>
        <sz val="11"/>
        <rFont val="Arial"/>
        <family val="2"/>
      </rPr>
      <t>. 
Provide data source/reference/assumptions used for estimating the population in need in the comments box.</t>
    </r>
  </si>
  <si>
    <t>TB patients with known HIV status</t>
  </si>
  <si>
    <t>HIV positive TB patients on ART</t>
  </si>
  <si>
    <t>Number of condoms distributed by the program (male and female) - all priority populations</t>
  </si>
  <si>
    <t>men who have sex with men</t>
  </si>
  <si>
    <t>All people living with HIV</t>
  </si>
  <si>
    <t>transgender people</t>
  </si>
  <si>
    <t>people who inject drugs and their partners</t>
  </si>
  <si>
    <t>adolescent girls and young women in high prevalence settings</t>
  </si>
  <si>
    <t>partners of people living with HIV</t>
  </si>
  <si>
    <t>Prevention - voluntary male medical circumcision</t>
  </si>
  <si>
    <t>Number of condoms distributed by the program (male and female)</t>
  </si>
  <si>
    <r>
      <t>Prevention</t>
    </r>
    <r>
      <rPr>
        <sz val="11"/>
        <color rgb="FFFF0000"/>
        <rFont val="Arial"/>
        <family val="2"/>
      </rPr>
      <t xml:space="preserve"> - National condom programming and stewardship</t>
    </r>
  </si>
  <si>
    <t>Prevention - People who inject drugs and their partners</t>
  </si>
  <si>
    <t>https://hivpreventioncoalition.unaids.org/resource/condom-needs-and-resource-requirement-estimation-tool/</t>
  </si>
  <si>
    <r>
      <t xml:space="preserve">Prevention programs for </t>
    </r>
    <r>
      <rPr>
        <sz val="11"/>
        <color rgb="FFFF0000"/>
        <rFont val="Arial"/>
        <family val="2"/>
      </rPr>
      <t>non-specified</t>
    </r>
    <r>
      <rPr>
        <sz val="11"/>
        <rFont val="Arial"/>
        <family val="2"/>
      </rPr>
      <t xml:space="preserve"> populations - </t>
    </r>
    <r>
      <rPr>
        <sz val="11"/>
        <color rgb="FFFF0000"/>
        <rFont val="Arial"/>
        <family val="2"/>
      </rPr>
      <t>condom programming
Please complete one table covering all priority populations targeted for condom promotion and distribution.
The following condom needs analysis tool is recommended for use in order to complete the Condom Gap Table: UNAIDS Condom needs estimation and resource requirements tool (C-NET):
Please attach completed tool as an annex to the concept note submission.</t>
    </r>
  </si>
  <si>
    <t>TreatmentCareandSupport_DifferentiatedARTServiceDelivery</t>
  </si>
  <si>
    <r>
      <rPr>
        <sz val="11"/>
        <color rgb="FFFF0000"/>
        <rFont val="Arial"/>
        <family val="2"/>
      </rPr>
      <t>Estimated population in need (A):</t>
    </r>
    <r>
      <rPr>
        <sz val="11"/>
        <rFont val="Arial"/>
        <family val="2"/>
      </rPr>
      <t xml:space="preserve"> This refers to the estimated number of people targeted for condom promotion and distribution.
Please use the totals of priority populations calculated in the 'Condom requirements' tab of the UNAIDS C-NET.</t>
    </r>
  </si>
  <si>
    <r>
      <t xml:space="preserve">Total number of condoms needed </t>
    </r>
    <r>
      <rPr>
        <sz val="11"/>
        <color rgb="FFFF0000"/>
        <rFont val="Arial"/>
        <family val="2"/>
      </rPr>
      <t>(A1 - A2)</t>
    </r>
    <r>
      <rPr>
        <sz val="11"/>
        <rFont val="Arial"/>
        <family val="2"/>
      </rPr>
      <t>: 
This refers to the estimated number of condoms needed (male and female) to meet 90% coverage target. It is recommended to use</t>
    </r>
    <r>
      <rPr>
        <sz val="11"/>
        <color rgb="FFFF0000"/>
        <rFont val="Arial"/>
        <family val="2"/>
      </rPr>
      <t xml:space="preserve"> the UNAIDS Condom needs estimation and resource requirements tool to calculate need (link provided above).</t>
    </r>
  </si>
  <si>
    <t>C3. Total country need already covered</t>
  </si>
  <si>
    <t>C3. Total des besoins du pays déjà couverts</t>
  </si>
  <si>
    <t>C3. Necesidades totales del país ya cubiertas</t>
  </si>
  <si>
    <t>D. Expected annual gap in meeting the need: A - C3</t>
  </si>
  <si>
    <t>D. Déficit annuel attendu par rapport aux besoins : A - C3</t>
  </si>
  <si>
    <t>D. Déficit anual previsto para cubrir la necesidad: 
A - C3</t>
  </si>
  <si>
    <t>F. Coverage from allocation amount and other resources: E + C3</t>
  </si>
  <si>
    <t>F. Couverture par la somme allouée et d'autres ressources : E + C3</t>
  </si>
  <si>
    <t>F. Cobertura total realizada con el monto asignado y otros recursos: E + C3</t>
  </si>
  <si>
    <t>C3. Total country target already covered</t>
  </si>
  <si>
    <t>D. Expected annual gap in meeting the country target: B - C3</t>
  </si>
  <si>
    <t>C3. Total de la cible nationale déjà couvert</t>
  </si>
  <si>
    <r>
      <rPr>
        <sz val="11"/>
        <rFont val="Calibri"/>
        <family val="2"/>
      </rPr>
      <t xml:space="preserve">D. Déficit annuel attendu par rapport à la </t>
    </r>
    <r>
      <rPr>
        <sz val="11"/>
        <rFont val="Arial"/>
        <family val="2"/>
      </rPr>
      <t>cible</t>
    </r>
    <r>
      <rPr>
        <sz val="11"/>
        <rFont val="Calibri"/>
        <family val="2"/>
      </rPr>
      <t xml:space="preserve"> nationale : B - C3</t>
    </r>
  </si>
  <si>
    <t>C3. Meta total del país ya cubierta</t>
  </si>
  <si>
    <t>D. Déficit anual previsto para alcanzar la meta del país: B - C3</t>
  </si>
  <si>
    <t>All "%" targets from rows C3 to G are based on numerical target in row B.</t>
  </si>
  <si>
    <t>All "%" targets from rows C3 to G are based on numerical target in row B1 and B2</t>
  </si>
  <si>
    <t>D. Expected annual gap in meeting the need- needles and syringes: 
B - C3</t>
  </si>
  <si>
    <t>D. Déficit annuel attendu par rapport aux besoins - aiguilles et seringues : 
B - C3</t>
  </si>
  <si>
    <t>D. Déficit anual previsto para satisfacer las necesidad - agujas y jeringuillas: B - C3</t>
  </si>
  <si>
    <t>F. Coverage from allocation amount and other resources- needles and syringes:  E + C3</t>
  </si>
  <si>
    <t>F. Couverture par la somme allouée et d'autres ressources - aiguilles et seringues :  E + C3</t>
  </si>
  <si>
    <t>F. Cobertura realizada con el monto asignado y otros recursos - agujas y jeringuillas:  E + C3</t>
  </si>
  <si>
    <t>This sheet contains a blank table in the case where the number of tables provided in the previous sheets is not sufficient, or if the applicant wishes to submit a table for a module/intervention/indicator that is not specified in the instructions.
This table is unprotected, therefore formulas in the cells can be changed if required. The table can also be copied if more than one is needed.</t>
  </si>
  <si>
    <t>F. Total Coverage from allocation amount and other resources: E + C3</t>
  </si>
  <si>
    <r>
      <t xml:space="preserve">In cases where the indictors used by the country are worded differently than what is included in the programmatic gap tables (but measurement is the same), please include the country definition in the comments box. </t>
    </r>
    <r>
      <rPr>
        <sz val="11"/>
        <rFont val="Arial"/>
        <family val="2"/>
      </rPr>
      <t>A blank table can be found on the "Blank table" sheet in the case where the number of tables provided in the workbook is not sufficient, or if the applicant wishes to submit a table for a module/interventio</t>
    </r>
    <r>
      <rPr>
        <sz val="11"/>
        <color rgb="FFFF0000"/>
        <rFont val="Arial"/>
        <family val="2"/>
      </rPr>
      <t xml:space="preserve">n/indicator </t>
    </r>
    <r>
      <rPr>
        <sz val="11"/>
        <rFont val="Arial"/>
        <family val="2"/>
      </rPr>
      <t>that is not specified in the instructions below.</t>
    </r>
  </si>
  <si>
    <r>
      <t xml:space="preserve">*These modules refer to the following key </t>
    </r>
    <r>
      <rPr>
        <sz val="11"/>
        <color rgb="FFFF0000"/>
        <rFont val="Arial"/>
        <family val="2"/>
      </rPr>
      <t>and vulnerable</t>
    </r>
    <r>
      <rPr>
        <sz val="11"/>
        <color theme="1"/>
        <rFont val="Arial"/>
        <family val="2"/>
      </rPr>
      <t xml:space="preserve"> populations: men who have sex with men; sex workers and their clients; transgender people; people who inject drugs and their partners; </t>
    </r>
    <r>
      <rPr>
        <sz val="11"/>
        <color rgb="FFFF0000"/>
        <rFont val="Arial"/>
        <family val="2"/>
      </rPr>
      <t>people in prisons and other closed settings; adolescent girls and young women in high prevalence settings; men in high prevalence settings,</t>
    </r>
    <r>
      <rPr>
        <sz val="11"/>
        <color theme="1"/>
        <rFont val="Arial"/>
        <family val="2"/>
      </rPr>
      <t xml:space="preserve"> and other vulnerable populations.
</t>
    </r>
    <r>
      <rPr>
        <sz val="11"/>
        <color rgb="FFFF0000"/>
        <rFont val="Arial"/>
        <family val="2"/>
      </rPr>
      <t xml:space="preserve">
**This module covers the following populations: men who have sex with men; sex workers and their clients; transgender people; people who inject drugs and their partners; people in prisons and other closed settings; adolescent girls and young women in high prevalence settings; men in high prevalence settings, partners of people living with HIV and, other vulnerable populations.</t>
    </r>
  </si>
  <si>
    <t>Programmatic Gap Tables</t>
  </si>
  <si>
    <t>Tuberculose et VIH - Patients tuberculeux séropositifs sous traitement antirétroviral</t>
  </si>
  <si>
    <t>Tuberculosis/VIH - pacientes seropositivos con tuberculosis que reciben tratamiento antirretroviral</t>
  </si>
  <si>
    <t>Tuberculosis/VIH - pacientes de tuberculosis con estado serológico respecto al VIH conocido.</t>
  </si>
  <si>
    <t>Tuberculose et VIH - Patients atteints de tuberculose et dont le statut sérologique vis-à-vis du VIH est connu</t>
  </si>
  <si>
    <t>Tuberculose et VIH - Dépistage de la tuberculose parmi les patients atteints du VIH</t>
  </si>
  <si>
    <t>Observations/Hypothèses :
1) Indiquez la région cible en cas de couverture infranationale
2) Précisez qui sont les autres sources de financement</t>
  </si>
  <si>
    <t>Comentarios/supuestos:
1) Especifique el área objetivo en caso de cobertura subnacional.
2) Especifique cuáles son las otras fuentes de financiamiento.</t>
  </si>
  <si>
    <t>Programas de prevención para la población general - circuncisión: 
Requerida para los 16 países prioritarios con alta prevalencia de VIH, niveles bajos de circuncisión y epidemias de VIH generalizadas de carácter heterosexual, es decir, Botsuana, Etiopía, República Centroafricana, Kenia, Lesoto, Malaui, Mozambique, Namibia, Ruanda, Sudáfrica, Sudán del Sur, Suazilandia, Uganda, República Unida de Tanzania, Zambia y Zimbabue.</t>
  </si>
  <si>
    <t>Patients tuberculeux dont le statut sérologique vis.à.vis du VIH est connu</t>
  </si>
  <si>
    <t>Patients tuberculeux séropositifs au VIH sous TAR</t>
  </si>
  <si>
    <t>Pacientes de tuberculosis con estado serológico respecto al VIH conocido</t>
  </si>
  <si>
    <t>Pacientes seropositivos con tuberculosis que reciben tratamiento antirretroviral</t>
  </si>
  <si>
    <t>Adultos viviendo con VIH (15 años o más)</t>
  </si>
  <si>
    <t>Niños viviendo con VIH (menores de 15 años)</t>
  </si>
  <si>
    <t>Todas las personas viviendo con VIH</t>
  </si>
  <si>
    <t>Servicios diferenciados de pruebas de VIH</t>
  </si>
  <si>
    <r>
      <t xml:space="preserve">Tratamiento atención y apoyo_Prestación de servicios diferenciados </t>
    </r>
    <r>
      <rPr>
        <sz val="11"/>
        <color rgb="FFFF0000"/>
        <rFont val="Calibri"/>
        <family val="2"/>
        <scheme val="minor"/>
      </rPr>
      <t>atención y</t>
    </r>
    <r>
      <rPr>
        <sz val="11"/>
        <rFont val="Calibri"/>
        <family val="2"/>
        <scheme val="minor"/>
      </rPr>
      <t xml:space="preserve"> tratamiento antirretroviral</t>
    </r>
  </si>
  <si>
    <t>Prevención - poblaciones clave</t>
  </si>
  <si>
    <t>Número de preservativos distribuidos por el programa (masculinos y femeninos) - todas las poblaciones prioritarias</t>
  </si>
  <si>
    <t>Número de preservativos y lubricantes distribuidos por el programa (masculinos y femeninos)</t>
  </si>
  <si>
    <r>
      <t xml:space="preserve">Módulos prioritarios para VIH: Programas de prevención </t>
    </r>
    <r>
      <rPr>
        <sz val="11"/>
        <color rgb="FFFF0000"/>
        <rFont val="Calibri"/>
        <family val="2"/>
        <scheme val="minor"/>
      </rPr>
      <t>para población no específica</t>
    </r>
  </si>
  <si>
    <r>
      <t xml:space="preserve">*Estos módulos hacen referencia a las siguientes poblaciones clave </t>
    </r>
    <r>
      <rPr>
        <sz val="11"/>
        <color rgb="FFFF0000"/>
        <rFont val="Calibri"/>
        <family val="2"/>
        <scheme val="minor"/>
      </rPr>
      <t>y vulnerables</t>
    </r>
    <r>
      <rPr>
        <sz val="11"/>
        <color theme="1"/>
        <rFont val="Arial"/>
        <family val="2"/>
      </rPr>
      <t xml:space="preserve">: hombres que tienen relaciones sexuales con hombres; trabajadores del sexo y sus clientes; personas transgénero, personas que se inyectan drogas y sus parejas; personas en las prisiones y en otros entornos de reclusión; </t>
    </r>
    <r>
      <rPr>
        <sz val="11"/>
        <color rgb="FFFF0000"/>
        <rFont val="Calibri"/>
        <family val="2"/>
        <scheme val="minor"/>
      </rPr>
      <t>las</t>
    </r>
    <r>
      <rPr>
        <sz val="11"/>
        <color theme="1"/>
        <rFont val="Arial"/>
        <family val="2"/>
      </rPr>
      <t xml:space="preserve"> </t>
    </r>
    <r>
      <rPr>
        <sz val="11"/>
        <color rgb="FFFF0000"/>
        <rFont val="Calibri"/>
        <family val="2"/>
        <scheme val="minor"/>
      </rPr>
      <t>adolescentes y mujeres jóvenes en entornos de alta prevalencia</t>
    </r>
    <r>
      <rPr>
        <sz val="11"/>
        <color theme="1"/>
        <rFont val="Arial"/>
        <family val="2"/>
      </rPr>
      <t xml:space="preserve">; </t>
    </r>
    <r>
      <rPr>
        <sz val="11"/>
        <color rgb="FFFF0000"/>
        <rFont val="Calibri"/>
        <family val="2"/>
        <scheme val="minor"/>
      </rPr>
      <t>hombres en entornos de alta prevalencia</t>
    </r>
    <r>
      <rPr>
        <sz val="11"/>
        <color theme="1"/>
        <rFont val="Arial"/>
        <family val="2"/>
      </rPr>
      <t xml:space="preserve">; y otras poblaciones vulnerables.
</t>
    </r>
    <r>
      <rPr>
        <sz val="11"/>
        <color rgb="FFFF0000"/>
        <rFont val="Calibri"/>
        <family val="2"/>
        <scheme val="minor"/>
      </rPr>
      <t>**Este modulo cubre las siguientes poblaciones: hombres que tienen relaciones sexuales con hombres; trabajadores del sexo y sus clientes; personas transgénero; personas que se inyectan drogas y sus parejas;  personas en las prisiones y en otros entornos de reclusión; las adolescentes y mujeres jóvenes en entornos de alta prevalencia; hombres en entornos de alta prevalencia; parejas de personas que viven con el VIH y otras poblaciones vulnerables.</t>
    </r>
  </si>
  <si>
    <r>
      <rPr>
        <sz val="11"/>
        <color rgb="FFFF0000"/>
        <rFont val="Calibri"/>
        <family val="2"/>
        <scheme val="minor"/>
      </rPr>
      <t>En casos en los que los indicadores utilizados por el país se parafrasean diferente de como se describen en las tablas de brechas programáticas (pero los métodos de medición son los mismos), por favor incluya la definición utilizada por el país en la casilla de comentarios.</t>
    </r>
    <r>
      <rPr>
        <sz val="11"/>
        <color theme="1"/>
        <rFont val="Arial"/>
        <family val="2"/>
      </rPr>
      <t xml:space="preserve"> Si el número de tablas incluidas en el fichero de Excel no es suficiente o el solicitante quiere presentar una tabla para un módulo/intervención</t>
    </r>
    <r>
      <rPr>
        <sz val="11"/>
        <color rgb="FFFF0000"/>
        <rFont val="Calibri"/>
        <family val="2"/>
        <scheme val="minor"/>
      </rPr>
      <t xml:space="preserve">/indicador </t>
    </r>
    <r>
      <rPr>
        <sz val="11"/>
        <color theme="1"/>
        <rFont val="Arial"/>
        <family val="2"/>
      </rPr>
      <t>que no aparece indicado en las instrucciones, podrá utilizar la tabla en blanco incluida en la pestaña denominada "Tabla en blanco".</t>
    </r>
  </si>
  <si>
    <r>
      <t xml:space="preserve">Tratamiento, atención y apoyo: prestación de servicios diferenciados de </t>
    </r>
    <r>
      <rPr>
        <sz val="11"/>
        <color rgb="FFFF0000"/>
        <rFont val="Arial"/>
        <family val="2"/>
      </rPr>
      <t xml:space="preserve">atención al VIH y </t>
    </r>
    <r>
      <rPr>
        <sz val="11"/>
        <rFont val="Arial"/>
        <family val="2"/>
      </rPr>
      <t>tratamiento antirretroviral (a completar por separado para adultos y niños)</t>
    </r>
  </si>
  <si>
    <r>
      <rPr>
        <sz val="11"/>
        <color rgb="FFFF0000"/>
        <rFont val="Arial"/>
        <family val="2"/>
      </rPr>
      <t>Población estimada con necesidades/en riesgo:
Se refiere a todos los adultos y niños que viven con el VIH</t>
    </r>
    <r>
      <rPr>
        <sz val="11"/>
        <rFont val="Arial"/>
        <family val="2"/>
      </rPr>
      <t xml:space="preserve"> </t>
    </r>
  </si>
  <si>
    <t xml:space="preserve">Meta del país:
1) Se refiere al Plan Estratégico Nacional (PEN) o a la última meta del país acordada.
2) "#" se refiere al número de mujeres embarazadas seropositivas que está previsto que reciban medicamentos antirretrovirales para reducir el riesgo de transmisión maternoinfantil durante el embarazo y el parto.
3) "%" se refiere al porcentaje de mujeres embarazadas seropositivas que recibe antirretrovirales para reducir el riesgo de transmisión maternoinfantil entre el total estimado de mujeres embarazadas seropositivas. </t>
  </si>
  <si>
    <r>
      <t xml:space="preserve">Indicador de cobertura: 
Porcentaje de pacientes con tuberculosis (casos nuevos y recaídas) registrados </t>
    </r>
    <r>
      <rPr>
        <sz val="11"/>
        <color rgb="FFFF0000"/>
        <rFont val="Arial"/>
        <family val="2"/>
      </rPr>
      <t>con estatus de VIH documentado.</t>
    </r>
  </si>
  <si>
    <r>
      <t xml:space="preserve">Programas de prevención para poblaciones clave - paquete definido de servicios
Complete </t>
    </r>
    <r>
      <rPr>
        <sz val="11"/>
        <color rgb="FFFF0000"/>
        <rFont val="Arial"/>
        <family val="2"/>
      </rPr>
      <t>tablas separadas</t>
    </r>
    <r>
      <rPr>
        <sz val="11"/>
        <rFont val="Arial"/>
        <family val="2"/>
      </rPr>
      <t xml:space="preserve"> para cada una de las poblaciones clave objetivo relevantes en la solicitud de financiamiento, por ejemplo: trabajadores del sexo y sus clientes, hombres que tienen relaciones sexuales con hombres, personas transgénero, personas que se inyectan drogas y sus parejas, personas en las prisiones y otros entornos de reclusión,</t>
    </r>
    <r>
      <rPr>
        <sz val="11"/>
        <color rgb="FFFF0000"/>
        <rFont val="Arial"/>
        <family val="2"/>
      </rPr>
      <t xml:space="preserve"> las</t>
    </r>
    <r>
      <rPr>
        <sz val="11"/>
        <rFont val="Arial"/>
        <family val="2"/>
      </rPr>
      <t xml:space="preserve"> adolescentes y </t>
    </r>
    <r>
      <rPr>
        <sz val="11"/>
        <color rgb="FFFF0000"/>
        <rFont val="Arial"/>
        <family val="2"/>
      </rPr>
      <t>mujeres</t>
    </r>
    <r>
      <rPr>
        <sz val="11"/>
        <rFont val="Arial"/>
        <family val="2"/>
      </rPr>
      <t xml:space="preserve"> jóvenes </t>
    </r>
    <r>
      <rPr>
        <sz val="11"/>
        <color rgb="FFFF0000"/>
        <rFont val="Arial"/>
        <family val="2"/>
      </rPr>
      <t>en entornos de alta prevalencia;</t>
    </r>
    <r>
      <rPr>
        <sz val="11"/>
        <rFont val="Arial"/>
        <family val="2"/>
      </rPr>
      <t xml:space="preserve"> </t>
    </r>
    <r>
      <rPr>
        <sz val="11"/>
        <color rgb="FFFF0000"/>
        <rFont val="Arial"/>
        <family val="2"/>
      </rPr>
      <t xml:space="preserve">hombres en entornos de alta prevalencia </t>
    </r>
    <r>
      <rPr>
        <sz val="11"/>
        <rFont val="Arial"/>
        <family val="2"/>
      </rPr>
      <t xml:space="preserve">y otras poblaciones vulnerables. Una vez seleccionado este módulo, elija la población clave deseada usando la lista desplegable incluida junto a la fila "Población </t>
    </r>
    <r>
      <rPr>
        <sz val="11"/>
        <color rgb="FFFF0000"/>
        <rFont val="Arial"/>
        <family val="2"/>
      </rPr>
      <t>objetivo</t>
    </r>
    <r>
      <rPr>
        <sz val="11"/>
        <rFont val="Arial"/>
        <family val="2"/>
      </rPr>
      <t>". En caso de seleccionar "otras poblaciones vulnerables", especifique de cuáles se trata en el apartado reservado a los comentarios.</t>
    </r>
  </si>
  <si>
    <r>
      <rPr>
        <b/>
        <sz val="11"/>
        <color rgb="FFFF0000"/>
        <rFont val="Arial"/>
        <family val="2"/>
      </rPr>
      <t>Servicios diferenciados de pruebas de VIH</t>
    </r>
    <r>
      <rPr>
        <sz val="11"/>
        <rFont val="Arial"/>
        <family val="2"/>
      </rPr>
      <t xml:space="preserve">
</t>
    </r>
    <r>
      <rPr>
        <sz val="11"/>
        <color rgb="FFFF0000"/>
        <rFont val="Arial"/>
        <family val="2"/>
      </rPr>
      <t xml:space="preserve">Por favor, </t>
    </r>
    <r>
      <rPr>
        <sz val="11"/>
        <rFont val="Arial"/>
        <family val="2"/>
      </rPr>
      <t xml:space="preserve">complete una tabla separada para cada una de las poblaciones clave objetivo </t>
    </r>
    <r>
      <rPr>
        <sz val="11"/>
        <color rgb="FFFF0000"/>
        <rFont val="Arial"/>
        <family val="2"/>
      </rPr>
      <t>relevantes en la solicitud de financiamiento</t>
    </r>
    <r>
      <rPr>
        <sz val="11"/>
        <rFont val="Arial"/>
        <family val="2"/>
      </rPr>
      <t>, por ejemplo, trabajadores del sexo y sus clientes, hombres que tienen relaciones sexuales con hombres, personas transgénero, personas que se inyectan drogas y sus parejas,personas en las prisiones y otros entornos de reclusión,</t>
    </r>
    <r>
      <rPr>
        <sz val="11"/>
        <color rgb="FFFF0000"/>
        <rFont val="Arial"/>
        <family val="2"/>
      </rPr>
      <t xml:space="preserve"> las adolescentes y mujeres jóvenes en entornos de alta prevalencia; hombres en entornos de alta prevalencia y otras poblaciones vulnerables.</t>
    </r>
    <r>
      <rPr>
        <sz val="11"/>
        <rFont val="Arial"/>
        <family val="2"/>
      </rPr>
      <t xml:space="preserve"> Seleccione la población clave deseada usando la lista desplegable incluida junto a la fila "Población </t>
    </r>
    <r>
      <rPr>
        <sz val="11"/>
        <color rgb="FFFF0000"/>
        <rFont val="Arial"/>
        <family val="2"/>
      </rPr>
      <t>objetivo</t>
    </r>
    <r>
      <rPr>
        <sz val="11"/>
        <rFont val="Arial"/>
        <family val="2"/>
      </rPr>
      <t>". En caso de seleccionar "otras poblaciones vulnerables",</t>
    </r>
    <r>
      <rPr>
        <sz val="11"/>
        <color theme="1"/>
        <rFont val="Arial"/>
        <family val="2"/>
      </rPr>
      <t xml:space="preserve"> especifique de cuáles se trata</t>
    </r>
    <r>
      <rPr>
        <sz val="11"/>
        <color rgb="FFFF0000"/>
        <rFont val="Arial"/>
        <family val="2"/>
      </rPr>
      <t xml:space="preserve"> en la sección de comentarios debajo.</t>
    </r>
  </si>
  <si>
    <r>
      <t xml:space="preserve">Indicador de cobertura: Porcentaje de la población clave </t>
    </r>
    <r>
      <rPr>
        <sz val="11"/>
        <color rgb="FFFF0000"/>
        <rFont val="Arial"/>
        <family val="2"/>
      </rPr>
      <t>elegible</t>
    </r>
    <r>
      <rPr>
        <sz val="11"/>
        <rFont val="Arial"/>
        <family val="2"/>
      </rPr>
      <t xml:space="preserve"> </t>
    </r>
    <r>
      <rPr>
        <sz val="11"/>
        <color rgb="FFFF0000"/>
        <rFont val="Arial"/>
        <family val="2"/>
      </rPr>
      <t xml:space="preserve">que inició PrEP durante los últimos 12 meses </t>
    </r>
  </si>
  <si>
    <r>
      <t xml:space="preserve">Brecha programática:
La brecha programática </t>
    </r>
    <r>
      <rPr>
        <sz val="11"/>
        <color rgb="FFFF0000"/>
        <rFont val="Arial"/>
        <family val="2"/>
      </rPr>
      <t>para preservativos masculinos y femeninos</t>
    </r>
    <r>
      <rPr>
        <sz val="11"/>
        <rFont val="Arial"/>
        <family val="2"/>
      </rPr>
      <t xml:space="preserve"> se calcula de forma automática en base a </t>
    </r>
    <r>
      <rPr>
        <sz val="11"/>
        <color rgb="FFFF0000"/>
        <rFont val="Arial"/>
        <family val="2"/>
      </rPr>
      <t>las metas del país</t>
    </r>
    <r>
      <rPr>
        <sz val="11"/>
        <rFont val="Arial"/>
        <family val="2"/>
      </rPr>
      <t xml:space="preserve"> (filas </t>
    </r>
    <r>
      <rPr>
        <sz val="11"/>
        <color rgb="FFFF0000"/>
        <rFont val="Arial"/>
        <family val="2"/>
      </rPr>
      <t>B1 y B2</t>
    </r>
    <r>
      <rPr>
        <sz val="11"/>
        <rFont val="Arial"/>
        <family val="2"/>
      </rPr>
      <t>)</t>
    </r>
  </si>
  <si>
    <r>
      <t>Programas de prevención para las poblaciones</t>
    </r>
    <r>
      <rPr>
        <sz val="11"/>
        <color rgb="FFFF0000"/>
        <rFont val="Arial"/>
        <family val="2"/>
      </rPr>
      <t xml:space="preserve"> no específicas</t>
    </r>
    <r>
      <rPr>
        <sz val="11"/>
        <rFont val="Arial"/>
        <family val="2"/>
      </rPr>
      <t xml:space="preserve">: </t>
    </r>
    <r>
      <rPr>
        <sz val="11"/>
        <color rgb="FFFF0000"/>
        <rFont val="Arial"/>
        <family val="2"/>
      </rPr>
      <t>planificación de preservativos</t>
    </r>
    <r>
      <rPr>
        <sz val="11"/>
        <rFont val="Arial"/>
        <family val="2"/>
      </rPr>
      <t xml:space="preserve"> 
</t>
    </r>
    <r>
      <rPr>
        <sz val="11"/>
        <color rgb="FFFF0000"/>
        <rFont val="Arial"/>
        <family val="2"/>
      </rPr>
      <t>Por favor, complete una tabla que incluya a todas las poblaciones prioritarias para la promoción y distribución de preservativos. 
Se recomienda utilizar la siguiente herramienta de cuantificación de necesidades de preservativos para completar esta tabla de brechas de preservativos: Herramienta de ONUSIDA para la estimación de necesidades de preservativos y requerimientos de recursos (C-NET): por favor añada la herramienta completada como un anexo al enviar la nota conceptual.</t>
    </r>
  </si>
  <si>
    <r>
      <t xml:space="preserve">Indicador de cobertura: número de preservativos </t>
    </r>
    <r>
      <rPr>
        <sz val="11"/>
        <color rgb="FFFF0000"/>
        <rFont val="Arial"/>
        <family val="2"/>
      </rPr>
      <t>distribuidos por el programa</t>
    </r>
    <r>
      <rPr>
        <sz val="11"/>
        <rFont val="Arial"/>
        <family val="2"/>
      </rPr>
      <t xml:space="preserve"> (masculinos y femeninos) - </t>
    </r>
    <r>
      <rPr>
        <sz val="11"/>
        <color rgb="FFFF0000"/>
        <rFont val="Arial"/>
        <family val="2"/>
      </rPr>
      <t>todas las poblaciones prioritarias</t>
    </r>
  </si>
  <si>
    <r>
      <rPr>
        <sz val="11"/>
        <color rgb="FFFF0000"/>
        <rFont val="Arial"/>
        <family val="2"/>
      </rPr>
      <t>Población estimada en necesidad (A)</t>
    </r>
    <r>
      <rPr>
        <sz val="11"/>
        <rFont val="Arial"/>
        <family val="2"/>
      </rPr>
      <t xml:space="preserve">: se refiere al número estimado de personas </t>
    </r>
    <r>
      <rPr>
        <sz val="11"/>
        <color rgb="FFFF0000"/>
        <rFont val="Arial"/>
        <family val="2"/>
      </rPr>
      <t>objetivo de las intervenciones para</t>
    </r>
    <r>
      <rPr>
        <sz val="11"/>
        <rFont val="Arial"/>
        <family val="2"/>
      </rPr>
      <t xml:space="preserve"> promoción y distribución de preservativos.
</t>
    </r>
    <r>
      <rPr>
        <sz val="11"/>
        <color rgb="FFFF0000"/>
        <rFont val="Arial"/>
        <family val="2"/>
      </rPr>
      <t>Por favor, utilice los totales de las poblaciones prioritarias calculadas en la pestaña de "requerimientos de preservativos" de la herramienta de ONUSIDA C-NET.</t>
    </r>
  </si>
  <si>
    <r>
      <t xml:space="preserve">Número total de preservativos necesarios </t>
    </r>
    <r>
      <rPr>
        <sz val="11"/>
        <color rgb="FFFF0000"/>
        <rFont val="Arial"/>
        <family val="2"/>
      </rPr>
      <t>(A1-A2)</t>
    </r>
    <r>
      <rPr>
        <sz val="11"/>
        <rFont val="Arial"/>
        <family val="2"/>
      </rPr>
      <t xml:space="preserve">: 
Se refiere al número estimado de preservativos necesarios (masculinos y femeninos) </t>
    </r>
    <r>
      <rPr>
        <sz val="11"/>
        <color rgb="FFFF0000"/>
        <rFont val="Arial"/>
        <family val="2"/>
      </rPr>
      <t xml:space="preserve">para alcanzar 90% como la meta de cobertura. Para calcular la necesidad, se recomienda que utilice la herramienta de ONUSIDA para la estimación de necesidades de preservativos y requerimientos de recursos (en el vínculo disponible arriba). </t>
    </r>
  </si>
  <si>
    <r>
      <t xml:space="preserve">Número total de preservativos necesarios </t>
    </r>
    <r>
      <rPr>
        <sz val="11"/>
        <color rgb="FFFF0000"/>
        <rFont val="Arial"/>
        <family val="2"/>
      </rPr>
      <t>(B1-B2)</t>
    </r>
    <r>
      <rPr>
        <sz val="11"/>
        <rFont val="Arial"/>
        <family val="2"/>
      </rPr>
      <t xml:space="preserve">:
1) Se refiere al Plan Estratégico Nacional (PEN) o a la última meta del país acordada.
2) "#" se refiere al número de preservativos masculinos y femeninos que se espera distribuir a través del programa con base en la cobertura prevista </t>
    </r>
    <r>
      <rPr>
        <sz val="11"/>
        <color rgb="FFFF0000"/>
        <rFont val="Arial"/>
        <family val="2"/>
      </rPr>
      <t>para todas las poblaciones prioritarias.</t>
    </r>
    <r>
      <rPr>
        <sz val="11"/>
        <rFont val="Arial"/>
        <family val="2"/>
      </rPr>
      <t xml:space="preserve"> 
</t>
    </r>
  </si>
  <si>
    <r>
      <t>Comentarios/supuestos:
1) Especifique el método de predicción empleado en la casilla de comentarios (</t>
    </r>
    <r>
      <rPr>
        <sz val="11"/>
        <color rgb="FFFF0000"/>
        <rFont val="Arial"/>
        <family val="2"/>
      </rPr>
      <t>celdas</t>
    </r>
    <r>
      <rPr>
        <sz val="11"/>
        <rFont val="Arial"/>
        <family val="2"/>
      </rPr>
      <t xml:space="preserve"> A1 y A2). 
2) Indique si el cálculo tiene en cuenta los preservativos necesarios para la planificación familiar, además del número requerido para los programas de prevención del VIH (celdas A1 y A2).                                                                                                                                         
3) Especifique </t>
    </r>
    <r>
      <rPr>
        <sz val="11"/>
        <color rgb="FFFF0000"/>
        <rFont val="Arial"/>
        <family val="2"/>
      </rPr>
      <t xml:space="preserve">cuál </t>
    </r>
    <r>
      <rPr>
        <sz val="11"/>
        <rFont val="Arial"/>
        <family val="2"/>
      </rPr>
      <t xml:space="preserve">es la cobertura esperada </t>
    </r>
    <r>
      <rPr>
        <sz val="11"/>
        <color rgb="FFFF0000"/>
        <rFont val="Arial"/>
        <family val="2"/>
      </rPr>
      <t>para las distintas poblaciones prioritarias objetivo de promoción y distribución de preservativos</t>
    </r>
    <r>
      <rPr>
        <sz val="11"/>
        <rFont val="Arial"/>
        <family val="2"/>
      </rPr>
      <t xml:space="preserve"> - </t>
    </r>
    <r>
      <rPr>
        <sz val="11"/>
        <color rgb="FFFF0000"/>
        <rFont val="Arial"/>
        <family val="2"/>
      </rPr>
      <t>celdas</t>
    </r>
    <r>
      <rPr>
        <sz val="11"/>
        <rFont val="Arial"/>
        <family val="2"/>
      </rPr>
      <t xml:space="preserve"> </t>
    </r>
    <r>
      <rPr>
        <sz val="11"/>
        <color rgb="FFFF0000"/>
        <rFont val="Arial"/>
        <family val="2"/>
      </rPr>
      <t>B1-B2 y E1-E2.</t>
    </r>
    <r>
      <rPr>
        <sz val="11"/>
        <rFont val="Arial"/>
        <family val="2"/>
      </rPr>
      <t xml:space="preserve">
4) Especifique cuáles son las otras fuentes de financiamiento. </t>
    </r>
  </si>
  <si>
    <r>
      <rPr>
        <sz val="11"/>
        <color rgb="FFFF0000"/>
        <rFont val="Arial"/>
        <family val="2"/>
      </rPr>
      <t xml:space="preserve">Prevención- </t>
    </r>
    <r>
      <rPr>
        <sz val="11"/>
        <rFont val="Arial"/>
        <family val="2"/>
      </rPr>
      <t>personas que se inyectan drogas y sus parejas</t>
    </r>
  </si>
  <si>
    <t>Prevención- poblaciones clave</t>
  </si>
  <si>
    <r>
      <t>C1. Meta del país que</t>
    </r>
    <r>
      <rPr>
        <sz val="11"/>
        <color rgb="FFFF0000"/>
        <rFont val="Arial"/>
        <family val="2"/>
      </rPr>
      <t xml:space="preserve"> se espera cubrir </t>
    </r>
    <r>
      <rPr>
        <sz val="11"/>
        <rFont val="Arial"/>
        <family val="2"/>
      </rPr>
      <t xml:space="preserve">con recursos </t>
    </r>
    <r>
      <rPr>
        <sz val="11"/>
        <color rgb="FFFF0000"/>
        <rFont val="Arial"/>
        <family val="2"/>
      </rPr>
      <t>domésticos,</t>
    </r>
    <r>
      <rPr>
        <sz val="11"/>
        <rFont val="Arial"/>
        <family val="2"/>
      </rPr>
      <t xml:space="preserve"> </t>
    </r>
    <r>
      <rPr>
        <sz val="11"/>
        <color rgb="FFFF0000"/>
        <rFont val="Arial"/>
        <family val="2"/>
      </rPr>
      <t>incluyendo el sector privado cuando esté disponible</t>
    </r>
  </si>
  <si>
    <r>
      <t xml:space="preserve">Número de preservativos distribuidos </t>
    </r>
    <r>
      <rPr>
        <sz val="11"/>
        <color rgb="FFFF0000"/>
        <rFont val="Arial"/>
        <family val="2"/>
      </rPr>
      <t>por el programa</t>
    </r>
    <r>
      <rPr>
        <sz val="11"/>
        <rFont val="Arial"/>
        <family val="2"/>
      </rPr>
      <t xml:space="preserve"> (masculinos y femeninos)</t>
    </r>
  </si>
  <si>
    <t xml:space="preserve">Prevención - Planificación y gestión nacional de preservativos </t>
  </si>
  <si>
    <r>
      <t xml:space="preserve">Porcentaje de la población clave </t>
    </r>
    <r>
      <rPr>
        <sz val="11"/>
        <color rgb="FFFF0000"/>
        <rFont val="Arial"/>
        <family val="2"/>
      </rPr>
      <t>elegible</t>
    </r>
    <r>
      <rPr>
        <sz val="11"/>
        <rFont val="Arial"/>
        <family val="2"/>
      </rPr>
      <t xml:space="preserve"> que </t>
    </r>
    <r>
      <rPr>
        <sz val="11"/>
        <color rgb="FFFF0000"/>
        <rFont val="Arial"/>
        <family val="2"/>
      </rPr>
      <t>inició</t>
    </r>
    <r>
      <rPr>
        <sz val="11"/>
        <rFont val="Arial"/>
        <family val="2"/>
      </rPr>
      <t xml:space="preserve"> PrEP</t>
    </r>
    <r>
      <rPr>
        <sz val="11"/>
        <color rgb="FFFF0000"/>
        <rFont val="Arial"/>
        <family val="2"/>
      </rPr>
      <t xml:space="preserve"> durante los últimos 12 meses.</t>
    </r>
  </si>
  <si>
    <r>
      <rPr>
        <sz val="11"/>
        <color rgb="FFFF0000"/>
        <rFont val="Arial"/>
        <family val="2"/>
      </rPr>
      <t>Prevención</t>
    </r>
    <r>
      <rPr>
        <sz val="11"/>
        <rFont val="Arial"/>
        <family val="2"/>
      </rPr>
      <t xml:space="preserve">- circuncisión </t>
    </r>
    <r>
      <rPr>
        <sz val="11"/>
        <color rgb="FFFF0000"/>
        <rFont val="Arial"/>
        <family val="2"/>
      </rPr>
      <t>médica</t>
    </r>
    <r>
      <rPr>
        <sz val="11"/>
        <rFont val="Arial"/>
        <family val="2"/>
      </rPr>
      <t xml:space="preserve"> masculina </t>
    </r>
    <r>
      <rPr>
        <sz val="11"/>
        <color rgb="FFFF0000"/>
        <rFont val="Arial"/>
        <family val="2"/>
      </rPr>
      <t>voluntaria</t>
    </r>
  </si>
  <si>
    <r>
      <t xml:space="preserve">A. Total de población estimada </t>
    </r>
    <r>
      <rPr>
        <sz val="11"/>
        <color rgb="FFFF0000"/>
        <rFont val="Arial"/>
        <family val="2"/>
      </rPr>
      <t>en</t>
    </r>
    <r>
      <rPr>
        <sz val="11"/>
        <rFont val="Arial"/>
        <family val="2"/>
      </rPr>
      <t xml:space="preserve"> necesidad </t>
    </r>
    <r>
      <rPr>
        <sz val="11"/>
        <color rgb="FFFF0000"/>
        <rFont val="Arial"/>
        <family val="2"/>
      </rPr>
      <t>(Prevención del VIH)</t>
    </r>
  </si>
  <si>
    <t xml:space="preserve">Tabla de brecha programática para PrEP </t>
  </si>
  <si>
    <t>Meta del país:
1) Se refiere al Plan Estratégico Nacional (PEN) o a la última meta del país acordada.
2) "#" se refiere al número de personas de la población clave indicada que se espera que reciba PrEP en el año especificado.  
3) "%" se refiere al porcentaje de personas que recibe PrEP respecto del número estimado de personas de la población clave indicada en el año especificado.</t>
  </si>
  <si>
    <t>Población objetivo</t>
  </si>
  <si>
    <r>
      <t xml:space="preserve">Meta del país ya </t>
    </r>
    <r>
      <rPr>
        <sz val="11"/>
        <color rgb="FFFF0000"/>
        <rFont val="Arial"/>
        <family val="2"/>
      </rPr>
      <t>cubierta</t>
    </r>
    <r>
      <rPr>
        <sz val="11"/>
        <rFont val="Arial"/>
        <family val="2"/>
      </rPr>
      <t>:
Las metas del país ya</t>
    </r>
    <r>
      <rPr>
        <sz val="11"/>
        <color rgb="FFFF0000"/>
        <rFont val="Arial"/>
        <family val="2"/>
      </rPr>
      <t xml:space="preserve"> cubiertas</t>
    </r>
    <r>
      <rPr>
        <sz val="11"/>
        <rFont val="Arial"/>
        <family val="2"/>
      </rPr>
      <t xml:space="preserve"> se </t>
    </r>
    <r>
      <rPr>
        <sz val="11"/>
        <color rgb="FFFF0000"/>
        <rFont val="Arial"/>
        <family val="2"/>
      </rPr>
      <t>desagregan</t>
    </r>
    <r>
      <rPr>
        <sz val="11"/>
        <rFont val="Arial"/>
        <family val="2"/>
      </rPr>
      <t xml:space="preserve"> primero por el tipo de </t>
    </r>
    <r>
      <rPr>
        <sz val="11"/>
        <color rgb="FFFF0000"/>
        <rFont val="Arial"/>
        <family val="2"/>
      </rPr>
      <t>fuente</t>
    </r>
    <r>
      <rPr>
        <sz val="11"/>
        <rFont val="Arial"/>
        <family val="2"/>
      </rPr>
      <t xml:space="preserve"> de financiamiento, seguido </t>
    </r>
    <r>
      <rPr>
        <sz val="11"/>
        <color rgb="FFFF0000"/>
        <rFont val="Arial"/>
        <family val="2"/>
      </rPr>
      <t>por el</t>
    </r>
    <r>
      <rPr>
        <sz val="11"/>
        <rFont val="Arial"/>
        <family val="2"/>
      </rPr>
      <t xml:space="preserve"> tipo de preservativo.
Tipo de </t>
    </r>
    <r>
      <rPr>
        <sz val="11"/>
        <color rgb="FFFF0000"/>
        <rFont val="Arial"/>
        <family val="2"/>
      </rPr>
      <t>fuente:</t>
    </r>
    <r>
      <rPr>
        <sz val="11"/>
        <rFont val="Arial"/>
        <family val="2"/>
      </rPr>
      <t xml:space="preserve"> las metas del país ya </t>
    </r>
    <r>
      <rPr>
        <sz val="11"/>
        <color rgb="FFFF0000"/>
        <rFont val="Arial"/>
        <family val="2"/>
      </rPr>
      <t>cubiertas</t>
    </r>
    <r>
      <rPr>
        <sz val="11"/>
        <rFont val="Arial"/>
        <family val="2"/>
      </rPr>
      <t xml:space="preserve"> se dividen entre las metas que van a financiarse con recursos </t>
    </r>
    <r>
      <rPr>
        <sz val="11"/>
        <color rgb="FFFF0000"/>
        <rFont val="Arial"/>
        <family val="2"/>
      </rPr>
      <t>domésticos</t>
    </r>
    <r>
      <rPr>
        <sz val="11"/>
        <rFont val="Arial"/>
        <family val="2"/>
      </rPr>
      <t xml:space="preserve"> (</t>
    </r>
    <r>
      <rPr>
        <sz val="11"/>
        <color rgb="FFFF0000"/>
        <rFont val="Arial"/>
        <family val="2"/>
      </rPr>
      <t>celda</t>
    </r>
    <r>
      <rPr>
        <sz val="11"/>
        <rFont val="Arial"/>
        <family val="2"/>
      </rPr>
      <t xml:space="preserve"> C1) y aquellas que van a financiarse con recursos externos (C2). Las inversiones nacionales del sector privado se incluirán entre las fuentes </t>
    </r>
    <r>
      <rPr>
        <sz val="11"/>
        <color rgb="FFFF0000"/>
        <rFont val="Arial"/>
        <family val="2"/>
      </rPr>
      <t>domésticas</t>
    </r>
    <r>
      <rPr>
        <sz val="11"/>
        <rFont val="Arial"/>
        <family val="2"/>
      </rPr>
      <t xml:space="preserve">. </t>
    </r>
    <r>
      <rPr>
        <sz val="11"/>
        <color rgb="FFFF0000"/>
        <rFont val="Arial"/>
        <family val="2"/>
      </rPr>
      <t>Siempre que hayan recursos provenientes del sector privado, por favor, especifique la información en la casilla de 'comentarios/supuestos'.</t>
    </r>
    <r>
      <rPr>
        <sz val="11"/>
        <rFont val="Arial"/>
        <family val="2"/>
      </rPr>
      <t xml:space="preserve"> </t>
    </r>
    <r>
      <rPr>
        <sz val="11"/>
        <color theme="1"/>
        <rFont val="Arial"/>
        <family val="2"/>
      </rPr>
      <t>En casos</t>
    </r>
    <r>
      <rPr>
        <sz val="11"/>
        <color rgb="FFFF0000"/>
        <rFont val="Arial"/>
        <family val="2"/>
      </rPr>
      <t xml:space="preserve"> cuando la meta del año se financia parcialmente con recursos provenientes de alguna subvención del Fondo Mundial en curso</t>
    </r>
    <r>
      <rPr>
        <sz val="11"/>
        <rFont val="Arial"/>
        <family val="2"/>
      </rPr>
      <t xml:space="preserve"> (es decir, existe una subvención que </t>
    </r>
    <r>
      <rPr>
        <sz val="11"/>
        <color rgb="FFFF0000"/>
        <rFont val="Arial"/>
        <family val="2"/>
      </rPr>
      <t>finaliza</t>
    </r>
    <r>
      <rPr>
        <sz val="11"/>
        <rFont val="Arial"/>
        <family val="2"/>
      </rPr>
      <t xml:space="preserve"> antes de comenzar el nuevo período de </t>
    </r>
    <r>
      <rPr>
        <sz val="11"/>
        <color rgb="FFFF0000"/>
        <rFont val="Arial"/>
        <family val="2"/>
      </rPr>
      <t>implementación</t>
    </r>
    <r>
      <rPr>
        <sz val="11"/>
        <rFont val="Arial"/>
        <family val="2"/>
      </rPr>
      <t xml:space="preserve">), esta porción podrá </t>
    </r>
    <r>
      <rPr>
        <sz val="11"/>
        <color rgb="FFFF0000"/>
        <rFont val="Arial"/>
        <family val="2"/>
      </rPr>
      <t>incluirse en la categoría</t>
    </r>
    <r>
      <rPr>
        <sz val="11"/>
        <rFont val="Arial"/>
        <family val="2"/>
      </rPr>
      <t xml:space="preserve"> de recursos externos. </t>
    </r>
    <r>
      <rPr>
        <sz val="11"/>
        <color rgb="FFFF0000"/>
        <rFont val="Arial"/>
        <family val="2"/>
      </rPr>
      <t>El total de ambas categorías se genera automáticamente</t>
    </r>
    <r>
      <rPr>
        <sz val="11"/>
        <rFont val="Arial"/>
        <family val="2"/>
      </rPr>
      <t xml:space="preserve"> en la </t>
    </r>
    <r>
      <rPr>
        <sz val="11"/>
        <color rgb="FFFF0000"/>
        <rFont val="Arial"/>
        <family val="2"/>
      </rPr>
      <t>celda</t>
    </r>
    <r>
      <rPr>
        <sz val="11"/>
        <rFont val="Arial"/>
        <family val="2"/>
      </rPr>
      <t xml:space="preserve"> C3. 
Tipo de preservativo: las metas del país ya </t>
    </r>
    <r>
      <rPr>
        <sz val="11"/>
        <color rgb="FFFF0000"/>
        <rFont val="Arial"/>
        <family val="2"/>
      </rPr>
      <t>cubiertas se desagregan</t>
    </r>
    <r>
      <rPr>
        <sz val="11"/>
        <rFont val="Arial"/>
        <family val="2"/>
      </rPr>
      <t xml:space="preserve"> por </t>
    </r>
    <r>
      <rPr>
        <sz val="11"/>
        <color rgb="FFFF0000"/>
        <rFont val="Arial"/>
        <family val="2"/>
      </rPr>
      <t>preservativo masculino</t>
    </r>
    <r>
      <rPr>
        <sz val="11"/>
        <rFont val="Arial"/>
        <family val="2"/>
      </rPr>
      <t xml:space="preserve"> (C4) y femenino (C5). El total </t>
    </r>
    <r>
      <rPr>
        <sz val="11"/>
        <color rgb="FFFF0000"/>
        <rFont val="Arial"/>
        <family val="2"/>
      </rPr>
      <t>de</t>
    </r>
    <r>
      <rPr>
        <sz val="11"/>
        <rFont val="Arial"/>
        <family val="2"/>
      </rPr>
      <t xml:space="preserve"> </t>
    </r>
    <r>
      <rPr>
        <sz val="11"/>
        <color rgb="FFFF0000"/>
        <rFont val="Arial"/>
        <family val="2"/>
      </rPr>
      <t>ambas categorías se genera</t>
    </r>
    <r>
      <rPr>
        <sz val="11"/>
        <rFont val="Arial"/>
        <family val="2"/>
      </rPr>
      <t xml:space="preserve"> de manera automática en la fila C6.</t>
    </r>
    <r>
      <rPr>
        <sz val="11"/>
        <color rgb="FFFF0000"/>
        <rFont val="Arial"/>
        <family val="2"/>
      </rPr>
      <t xml:space="preserve"> Por favor, note que el resultado en la celda C3 debe ser igual al resultado en la celda C6.
Si la información para las celdas C1 y C2 no están disponibles, complete solo las celdas C4 y C5.</t>
    </r>
  </si>
  <si>
    <r>
      <t xml:space="preserve">Country Target Already Covered:
Country Target Already Covered is broken down first by funding resource type, followed by type of condom.
Resource type: Country target already covered is broken down into the target planned to be covered by domestic resources (line C1), and external resources (C2). National private sector investments are to be included under domestic sources. </t>
    </r>
    <r>
      <rPr>
        <sz val="11"/>
        <color rgb="FFFF0000"/>
        <rFont val="Arial"/>
        <family val="2"/>
      </rPr>
      <t>Please specify under 'Comments/Assumptions' wherever private sector resources are available.</t>
    </r>
    <r>
      <rPr>
        <sz val="11"/>
        <rFont val="Arial"/>
        <family val="2"/>
      </rPr>
      <t xml:space="preserve"> In cases where part of the target during the year is covered by a current Global Fund grant (that ends prior to the start of the new implementation period), it can be included in the external resources category. The total of these two is automatically generated in line C3. 
Condom type: Country target already covered is broken down by male condoms (C4), and female condoms (C5). </t>
    </r>
    <r>
      <rPr>
        <sz val="11"/>
        <color rgb="FFFF0000"/>
        <rFont val="Arial"/>
        <family val="2"/>
      </rPr>
      <t>The total of these two is automatically generated in line C6. Please note that the result in C3 and C6 should be the same.</t>
    </r>
    <r>
      <rPr>
        <sz val="11"/>
        <rFont val="Arial"/>
        <family val="2"/>
      </rPr>
      <t xml:space="preserve">
If information for lines C1 and C2 are not available, fill only lines C4 and C5.</t>
    </r>
  </si>
  <si>
    <t>otras poblaciones vulnerables  - especifique cuáles en los comentarios</t>
  </si>
  <si>
    <t>personas que se inyectan drogas y sus parejas</t>
  </si>
  <si>
    <r>
      <rPr>
        <sz val="11"/>
        <color rgb="FFFF0000"/>
        <rFont val="Calibri"/>
        <family val="2"/>
        <scheme val="minor"/>
      </rPr>
      <t>las</t>
    </r>
    <r>
      <rPr>
        <sz val="11"/>
        <color theme="1"/>
        <rFont val="Calibri"/>
        <family val="2"/>
        <scheme val="minor"/>
      </rPr>
      <t xml:space="preserve"> adolescentes y </t>
    </r>
    <r>
      <rPr>
        <sz val="11"/>
        <color rgb="FFFF0000"/>
        <rFont val="Calibri"/>
        <family val="2"/>
        <scheme val="minor"/>
      </rPr>
      <t>mujeres</t>
    </r>
    <r>
      <rPr>
        <sz val="11"/>
        <color theme="1"/>
        <rFont val="Calibri"/>
        <family val="2"/>
        <scheme val="minor"/>
      </rPr>
      <t xml:space="preserve"> jóvenes </t>
    </r>
    <r>
      <rPr>
        <sz val="11"/>
        <color rgb="FFFF0000"/>
        <rFont val="Calibri"/>
        <family val="2"/>
        <scheme val="minor"/>
      </rPr>
      <t>en entornos de alta prevalencia</t>
    </r>
  </si>
  <si>
    <t>hombres en entornos de alta prevalencia</t>
  </si>
  <si>
    <t>parejas de personas viviendo con el VIH</t>
  </si>
  <si>
    <t>población no específica</t>
  </si>
  <si>
    <t>todas las poblaciones prioritarias</t>
  </si>
  <si>
    <t>Services de dépistage différenciés du VIH</t>
  </si>
  <si>
    <t>Adultes vivants avec le VIH (15 ans et plus)</t>
  </si>
  <si>
    <t>Toutes les personnes vivants avec le VIH</t>
  </si>
  <si>
    <t>population non spécifiée</t>
  </si>
  <si>
    <t>personnes incarcérées ou se trouvant dans d'autres lieux fermés</t>
  </si>
  <si>
    <t>adolescentes et jeunes femmes dans des contextes à forte prévalence</t>
  </si>
  <si>
    <t>hommes dans des contextes à forte prévalence</t>
  </si>
  <si>
    <t>les consommateurs de drogues injectables et leurs partenaires</t>
  </si>
  <si>
    <r>
      <t xml:space="preserve">Modules prioritaires pour le VIH : Programmes de prévention pour une </t>
    </r>
    <r>
      <rPr>
        <sz val="11"/>
        <color rgb="FFFF0000"/>
        <rFont val="Calibri"/>
        <family val="2"/>
        <scheme val="minor"/>
      </rPr>
      <t>population non spécifiée</t>
    </r>
  </si>
  <si>
    <t xml:space="preserve">Prévention - populations clés </t>
  </si>
  <si>
    <t>Nombre de préservatifs distribués (masculins et féminins) - toutes les populations prioritaires</t>
  </si>
  <si>
    <r>
      <t xml:space="preserve">Dans les cas où les indicateurs utilisés par le pays sont formulés différemment de ce qui est inclus dans les tableaux des déficits programmatiques (mais que la mesure est identique), veuillez inclure la définition du pays dans la section commentaires.
</t>
    </r>
    <r>
      <rPr>
        <sz val="11"/>
        <color theme="1"/>
        <rFont val="Arial"/>
        <family val="2"/>
      </rPr>
      <t xml:space="preserve">La feuille « Blank table » contient un tableau vierge qui pourra être utilisé si le nombre de tableaux fournis dans le classeur Excel est insuffisant ou si le candidat souhaite soumettre un tableau pour un module/une intervention/ </t>
    </r>
    <r>
      <rPr>
        <sz val="11"/>
        <color rgb="FFFF0000"/>
        <rFont val="Calibri"/>
        <family val="2"/>
        <scheme val="minor"/>
      </rPr>
      <t>un indicateur</t>
    </r>
    <r>
      <rPr>
        <sz val="11"/>
        <color theme="1"/>
        <rFont val="Arial"/>
        <family val="2"/>
      </rPr>
      <t xml:space="preserve"> qui n'apparaît pas dans les instructions ci-dessous.</t>
    </r>
  </si>
  <si>
    <r>
      <t xml:space="preserve">Traitement, prise en charge et soutien - </t>
    </r>
    <r>
      <rPr>
        <sz val="11"/>
        <color rgb="FFFF0000"/>
        <rFont val="Calibri"/>
        <family val="2"/>
        <scheme val="minor"/>
      </rPr>
      <t>Prestation de services et prise en charge différenciées pour les traitements antirétroviraux</t>
    </r>
    <r>
      <rPr>
        <sz val="11"/>
        <color theme="1"/>
        <rFont val="Arial"/>
        <family val="2"/>
      </rPr>
      <t xml:space="preserve"> (remplir des tableaux distincts pour les adultes et pour les enfants)</t>
    </r>
  </si>
  <si>
    <t>Estimation des populations dans le besoin/à risque:
Cela se rapporte à l'ensemble des adultes et enfants vivant avec le VIH</t>
  </si>
  <si>
    <t xml:space="preserve">Cible du pays :
1) Se rapporte au plan stratégique national (PSN) ou à toute autre cible du pays approuvée plus récemment.
2) « # » se rapporte au nombre de femmes enceintes séropositives censées recevoir des antirétroviraux afin de réduire le risque de transmission de la mère à l'enfant au cours de la grossesse et de l'accouchement.
3) « % » se rapporte au pourcentage de femmes enceintes séropositives recevant des antirétroviraux afin de réduire le risque de transmission de la mère à l'enfant dans la population estimée des femmes enceintes séropositives. </t>
  </si>
  <si>
    <r>
      <t xml:space="preserve">Indicateur de couverture :
</t>
    </r>
    <r>
      <rPr>
        <sz val="11"/>
        <color rgb="FFFF0000"/>
        <rFont val="Calibri"/>
        <family val="2"/>
        <scheme val="minor"/>
      </rPr>
      <t>Pourcentage</t>
    </r>
    <r>
      <rPr>
        <sz val="11"/>
        <color theme="1"/>
        <rFont val="Arial"/>
        <family val="2"/>
      </rPr>
      <t xml:space="preserve"> de patients tuberculeux enregistrés, nouveaux cas et cas de récidive confondus, dont le statut sérologique vis-à-vis du VIH est documenté</t>
    </r>
  </si>
  <si>
    <r>
      <t xml:space="preserve">Déficit programmatique :
</t>
    </r>
    <r>
      <rPr>
        <sz val="11"/>
        <color rgb="FFFF0000"/>
        <rFont val="Calibri"/>
        <family val="2"/>
        <scheme val="minor"/>
      </rPr>
      <t>Le déficit programmatique pour les préservatifs masculins et féminins est calculé automatiquement à partir de la cible du pays (B1 et B2)</t>
    </r>
  </si>
  <si>
    <t>Programmes de prévention pour les populations non-spécifiées – programmation des préservatifs
Complétez un tableau couvrant toutes les populations ciblées par la promotion et la distribution de préservatifs.
Utilisation de l’outil d’analyse des besoins en préservatifs suivant est recommandée afin de compléter la Condom Gap Table :   UNAIDS Condom needs estimation and resource requirements tool (C-NET).
Veuillez attacher l’outil rempli en tant qu’annexe à la soumission de la note conceptuelle.</t>
  </si>
  <si>
    <t xml:space="preserve">Population estimée dans le besoin (A): Correspond à l'effectif estimé de personnes dans la population générale ciblée par la promotion et la distribution de préservatifs.
Veuillez utiliser les totaux des populations prioritaires calculés dans l'onglet "Exigences relatives aux préservatifs" du C-NET de l'ONUSIDA.
</t>
  </si>
  <si>
    <r>
      <t xml:space="preserve">Nombre total de préservatifs nécessaires </t>
    </r>
    <r>
      <rPr>
        <sz val="11"/>
        <color rgb="FFFF0000"/>
        <rFont val="Calibri"/>
        <family val="2"/>
        <scheme val="minor"/>
      </rPr>
      <t xml:space="preserve">(A1 - A2): </t>
    </r>
    <r>
      <rPr>
        <sz val="11"/>
        <color theme="1"/>
        <rFont val="Arial"/>
        <family val="2"/>
      </rPr>
      <t xml:space="preserve">
Correspond au nombre estimé de préservatifs nécessaires (masculins et féminins) pour atteindre l'objectif de couverture de 90%. </t>
    </r>
    <r>
      <rPr>
        <sz val="11"/>
        <color rgb="FFFF0000"/>
        <rFont val="Calibri"/>
        <family val="2"/>
        <scheme val="minor"/>
      </rPr>
      <t xml:space="preserve">Il est recommandé d'utiliser l'outil de gestion des besoins en ressources de l'ONUSIDA pour l’estimation des besoins en préservatifs (lien fourni ci-dessus)
</t>
    </r>
  </si>
  <si>
    <r>
      <rPr>
        <sz val="11"/>
        <color rgb="FFFF0000"/>
        <rFont val="Calibri"/>
        <family val="2"/>
        <scheme val="minor"/>
      </rPr>
      <t xml:space="preserve">Nombre total de préservatifs nécessaires (B1 - B2): </t>
    </r>
    <r>
      <rPr>
        <sz val="11"/>
        <color theme="1"/>
        <rFont val="Arial"/>
        <family val="2"/>
      </rPr>
      <t xml:space="preserve">
1) Se rapporte au plan stratégique national ou à toute autre cible du pays approuvée plus récemment
2) # correspond au nombre de préservatifs masculins et féminins censés être distribués dans le cadre du programme sur la base de la couverture attendue </t>
    </r>
    <r>
      <rPr>
        <sz val="11"/>
        <color rgb="FFFF0000"/>
        <rFont val="Calibri"/>
        <family val="2"/>
        <scheme val="minor"/>
      </rPr>
      <t>de toutes les populations prioritaires</t>
    </r>
  </si>
  <si>
    <r>
      <t>Cible nationale déjà couverte :
La cible du pays déjà couverte est ventilée d'abord par type de ressource de financement, puis par type de préservatif.
Type de ressource : La cible du pays déjà couverte est ventilée selon l'origine des ressources, ressources nationales (rangée C1) et ressources extérieures (rangée C2). Les investissements du secteur privé national doivent figurer dans les sources nationales.</t>
    </r>
    <r>
      <rPr>
        <sz val="11"/>
        <color rgb="FFFF0000"/>
        <rFont val="Calibri"/>
        <family val="2"/>
        <scheme val="minor"/>
      </rPr>
      <t xml:space="preserve"> Veuillez spécifier sous 'Commentaires / Hypothèses' chaque fois que des ressources du secteur privé sont disponibles. </t>
    </r>
    <r>
      <rPr>
        <sz val="11"/>
        <color theme="1"/>
        <rFont val="Arial"/>
        <family val="2"/>
      </rPr>
      <t>Dans les cas où une partie de la cible est couverte pendant l'année par une subvention en cours du Fonds mondial (se terminant avant le début de la nouvelle période de mise en œuvre), le montant correspondant peut être inclus dans la catégorie des ressources extérieures. Le total des deux est calculé automatiquement dans la rangée C3. 
Type de préservatif : La cible du pays déjà couverte est subdivisée entre les préservatifs masculins (C4) et les préservatifs féminins (C5). Le total des deux est calculé automatiquement dans la rangée C6.</t>
    </r>
    <r>
      <rPr>
        <sz val="11"/>
        <color rgb="FFFF0000"/>
        <rFont val="Calibri"/>
        <family val="2"/>
        <scheme val="minor"/>
      </rPr>
      <t xml:space="preserve"> Veuillez noter que la somme de C3 et C6 devrait être la même.</t>
    </r>
    <r>
      <rPr>
        <sz val="11"/>
        <color theme="1"/>
        <rFont val="Arial"/>
        <family val="2"/>
      </rPr>
      <t xml:space="preserve"> Si vous ne disposez pas des données nécessaires pour remplir les cellules C1 et C2, remplissez uniquement les cellules C4 et C5.
</t>
    </r>
  </si>
  <si>
    <r>
      <t xml:space="preserve">Observations/Hypothèses :
1) Précisez la méthodologie utilisée pour les prévisions dans la cellule des observations (rangées A1 et A2)
2) Précisez si l'estimation comprend les préservatifs nécessaires à la planification familiale, en plus du nombre nécessaire pour les programmes de prévention du VIH (rangées A1 et A2)
</t>
    </r>
    <r>
      <rPr>
        <sz val="11"/>
        <color rgb="FFFF0000"/>
        <rFont val="Calibri"/>
        <family val="2"/>
        <scheme val="minor"/>
      </rPr>
      <t>3) Précisez quelle est la couverture attendue des différentes populations prioritaires ciblées pour la promotion et la distribution de préservatifs - rangées B1-B2 et E1-E2</t>
    </r>
    <r>
      <rPr>
        <sz val="11"/>
        <color theme="1"/>
        <rFont val="Arial"/>
        <family val="2"/>
      </rPr>
      <t xml:space="preserve">
4) Précisez quelles sont les autres sources de financement</t>
    </r>
  </si>
  <si>
    <r>
      <t xml:space="preserve">C1. Cible nationale devant être couverte par des ressources nationales, </t>
    </r>
    <r>
      <rPr>
        <sz val="11"/>
        <color rgb="FFFF0000"/>
        <rFont val="Calibri"/>
        <family val="2"/>
        <scheme val="minor"/>
      </rPr>
      <t>y compris le secteur privé, le cas échéant</t>
    </r>
  </si>
  <si>
    <t>toutes les populations prioritaires</t>
  </si>
  <si>
    <t>Nombre de préservatifs distribués par le programme (masculins et féminins)</t>
  </si>
  <si>
    <t>Prévention - Circoncision médicale masculine volontaire</t>
  </si>
  <si>
    <r>
      <t xml:space="preserve">A. Estimation du total des populations dans le besoin/à risque </t>
    </r>
    <r>
      <rPr>
        <sz val="11"/>
        <color rgb="FFFF0000"/>
        <rFont val="Calibri"/>
        <family val="2"/>
        <scheme val="minor"/>
      </rPr>
      <t>(Prévention VIH)</t>
    </r>
  </si>
  <si>
    <t>Onglet "HIV Tables"</t>
  </si>
  <si>
    <t>Pestaña "HIV Tables"</t>
  </si>
  <si>
    <t>Onglet "NSP gap table"</t>
  </si>
  <si>
    <t>Onglet "PrEP gap table"</t>
  </si>
  <si>
    <t>Onglet "Condom gap tables"</t>
  </si>
  <si>
    <t>Onglet "Male circumcision gap table"</t>
  </si>
  <si>
    <r>
      <t xml:space="preserve">Para empezar a completar cada tabla </t>
    </r>
    <r>
      <rPr>
        <sz val="11"/>
        <color rgb="FFFF0000"/>
        <rFont val="Arial"/>
        <family val="2"/>
      </rPr>
      <t xml:space="preserve">debajo de la pestaña "HIV Tables", </t>
    </r>
    <r>
      <rPr>
        <sz val="11"/>
        <rFont val="Arial"/>
        <family val="2"/>
      </rPr>
      <t>especifique el módulo/</t>
    </r>
    <r>
      <rPr>
        <sz val="11"/>
        <color rgb="FFFF0000"/>
        <rFont val="Arial"/>
        <family val="2"/>
      </rPr>
      <t>intervención</t>
    </r>
    <r>
      <rPr>
        <sz val="11"/>
        <rFont val="Arial"/>
        <family val="2"/>
      </rPr>
      <t xml:space="preserve"> prioritari</t>
    </r>
    <r>
      <rPr>
        <sz val="11"/>
        <color rgb="FFFF0000"/>
        <rFont val="Arial"/>
        <family val="2"/>
      </rPr>
      <t>a</t>
    </r>
    <r>
      <rPr>
        <sz val="11"/>
        <rFont val="Arial"/>
        <family val="2"/>
      </rPr>
      <t xml:space="preserve"> seccionándolos de la lista desplegable incluida junto a la fila  "Módulo prioritario". Al seleccionar un módulo o intervención, el indicador de cobertura correspondiente aparecerá a continuación de forma automática. Es obligatorio completar las celdas vacías destacadas en blanco. Las celdas destacadas en color morado se completarán de forma automática.
Una vez seleccionado el módulo/intervención, especifique la población </t>
    </r>
    <r>
      <rPr>
        <sz val="11"/>
        <color rgb="FFFF0000"/>
        <rFont val="Arial"/>
        <family val="2"/>
      </rPr>
      <t>objetivo</t>
    </r>
    <r>
      <rPr>
        <sz val="11"/>
        <rFont val="Arial"/>
        <family val="2"/>
      </rPr>
      <t xml:space="preserve"> de la lista desplegable incluida junto a la fila "Población </t>
    </r>
    <r>
      <rPr>
        <sz val="11"/>
        <color rgb="FFFF0000"/>
        <rFont val="Arial"/>
        <family val="2"/>
      </rPr>
      <t>objetivo</t>
    </r>
    <r>
      <rPr>
        <sz val="11"/>
        <rFont val="Arial"/>
        <family val="2"/>
      </rPr>
      <t xml:space="preserve">". Para los módulos relacionados con la prevención, complete separadamente una tabla de análisis de brecha programática para cada población clave a la que se dirige el programa. Para el tratamiento antirretroviral, se recomienda completar tablas distintas para los adultos y los niños, si bien también se proporciona la opción de completarlo de manera agregada.
Aunque la mayoría de las tablas para VIH se han considerado en la pestaña "HIV Tables", note que se incluyen tablas específicas e independientes para la circuncisión </t>
    </r>
    <r>
      <rPr>
        <sz val="11"/>
        <color rgb="FFFF0000"/>
        <rFont val="Arial"/>
        <family val="2"/>
      </rPr>
      <t>masculina, PrEP, p</t>
    </r>
    <r>
      <rPr>
        <sz val="11"/>
        <rFont val="Arial"/>
        <family val="2"/>
      </rPr>
      <t xml:space="preserve">reservativos distribuidos </t>
    </r>
    <r>
      <rPr>
        <sz val="11"/>
        <color rgb="FFFF0000"/>
        <rFont val="Arial"/>
        <family val="2"/>
      </rPr>
      <t>y programas de distribución de agujas y jeringuillas</t>
    </r>
    <r>
      <rPr>
        <sz val="11"/>
        <rFont val="Arial"/>
        <family val="2"/>
      </rPr>
      <t xml:space="preserve">. </t>
    </r>
    <r>
      <rPr>
        <sz val="11"/>
        <color rgb="FFFF0000"/>
        <rFont val="Arial"/>
        <family val="2"/>
      </rPr>
      <t>Para estas tablas, la fila de "módulo prioritario" ha sido previamente completado. Por favor, note que solo una tabla debe llenarse para todas las poblaciones prioritarias. No se requieren tablas separadas por población.</t>
    </r>
    <r>
      <rPr>
        <sz val="11"/>
        <rFont val="Arial"/>
        <family val="2"/>
      </rPr>
      <t xml:space="preserve">
</t>
    </r>
    <r>
      <rPr>
        <sz val="11"/>
        <color rgb="FFFF0000"/>
        <rFont val="Arial"/>
        <family val="2"/>
      </rPr>
      <t>Por favor note que las tablas para distribución de preservativos y circuncisión masculina calculan la brecha programática en base a la meta nacional del país, no la necesidad del país.</t>
    </r>
    <r>
      <rPr>
        <sz val="11"/>
        <rFont val="Arial"/>
        <family val="2"/>
      </rPr>
      <t xml:space="preserve">
Si se presentan solicitudes de financiamiento separadas para la </t>
    </r>
    <r>
      <rPr>
        <sz val="11"/>
        <color rgb="FFFF0000"/>
        <rFont val="Arial"/>
        <family val="2"/>
      </rPr>
      <t>TB</t>
    </r>
    <r>
      <rPr>
        <sz val="11"/>
        <rFont val="Arial"/>
        <family val="2"/>
      </rPr>
      <t xml:space="preserve"> y el VIH, se deberán incluir en ambas las tablas de análisis de déficit para las intervenciones de tuberculosis/VIH. En caso de presentar una solicitud conjunta para tuberculosis/VIH,complete las tablas incluidas en el archivo de Excel de brecha programática conjunto para tuberculosis/VIH.
En las instrucciones siguientes se explica detalladamente cómo completar la tabla de déficit para cada módulo. Tenga presente que hay varios indicadores de cobertura para las intervenciones conjuntas de tuberculosis/VIH, por lo que se deberán completar separadamente las tablas pertinentes. Recuerde que solo tiene que completar las tablas correspondientes para </t>
    </r>
    <r>
      <rPr>
        <sz val="11"/>
        <color rgb="FFFF0000"/>
        <rFont val="Arial"/>
        <family val="2"/>
      </rPr>
      <t>solo 3-6 módulos prioritarios.</t>
    </r>
  </si>
  <si>
    <r>
      <t xml:space="preserve">Pour commencer le remplissage de chaque tableau </t>
    </r>
    <r>
      <rPr>
        <sz val="11"/>
        <color rgb="FFFF0000"/>
        <rFont val="Calibri"/>
        <family val="2"/>
        <scheme val="minor"/>
      </rPr>
      <t>sous l'onglet "HIV Tables"</t>
    </r>
    <r>
      <rPr>
        <sz val="11"/>
        <color theme="1"/>
        <rFont val="Arial"/>
        <family val="2"/>
      </rPr>
      <t xml:space="preserve"> , précisez le module/intervention prioritaire souhaité en le sélectionnant dans la liste déroulante qui se trouve à côté de la cellule « Module prioritaire ». L'indicateur de couverture correspondant s'affiche alors automatiquement. Des informations doivent être saisies dans les cellules vides avec fond blanc. Les cellules avec fond violet se rempliront alors automatiquement.
Après avoir sélectionné le module/l'intervention, précisez la population cible dans la liste déroulante prévue à côté de la cellule « Population cible ».
Pour les modules portant sur la prévention, complétez un tableau d'analyse des déficits distinct pour chacune des populations clés ciblées par le programme, s</t>
    </r>
    <r>
      <rPr>
        <sz val="11"/>
        <color rgb="FFFF0000"/>
        <rFont val="Calibri"/>
        <family val="2"/>
        <scheme val="minor"/>
      </rPr>
      <t>auf pour le tableau des déficits des préservatif</t>
    </r>
    <r>
      <rPr>
        <sz val="11"/>
        <color theme="1"/>
        <rFont val="Arial"/>
        <family val="2"/>
      </rPr>
      <t xml:space="preserve">s. Pour ce qui est </t>
    </r>
    <r>
      <rPr>
        <sz val="11"/>
        <color rgb="FFFF0000"/>
        <rFont val="Calibri"/>
        <family val="2"/>
        <scheme val="minor"/>
      </rPr>
      <t xml:space="preserve">des </t>
    </r>
    <r>
      <rPr>
        <sz val="11"/>
        <color theme="1"/>
        <rFont val="Arial"/>
        <family val="2"/>
      </rPr>
      <t xml:space="preserve">traitements antirétroviraux, nous vous encourageons à remplir des tableaux distincts pour les adultes et pour les enfants, mais il est également possible de ne remplir qu'un seul tableau </t>
    </r>
    <r>
      <rPr>
        <sz val="11"/>
        <color rgb="FFFF0000"/>
        <rFont val="Calibri"/>
        <family val="2"/>
        <scheme val="minor"/>
      </rPr>
      <t>agrégé</t>
    </r>
    <r>
      <rPr>
        <sz val="11"/>
        <color theme="1"/>
        <rFont val="Arial"/>
        <family val="2"/>
      </rPr>
      <t xml:space="preserve">.
La plupart des tableaux doivent être remplis dans l'onglet </t>
    </r>
    <r>
      <rPr>
        <sz val="11"/>
        <color rgb="FFFF0000"/>
        <rFont val="Calibri"/>
        <family val="2"/>
        <scheme val="minor"/>
      </rPr>
      <t>« HIV Tables » </t>
    </r>
    <r>
      <rPr>
        <sz val="11"/>
        <color theme="1"/>
        <rFont val="Arial"/>
        <family val="2"/>
      </rPr>
      <t xml:space="preserve">; cependant, vous trouverez des tableaux adaptés pour la circoncision masculine, </t>
    </r>
    <r>
      <rPr>
        <sz val="11"/>
        <color rgb="FFFF0000"/>
        <rFont val="Calibri"/>
        <family val="2"/>
        <scheme val="minor"/>
      </rPr>
      <t>la PrEP, les programmes concernant les distributions de préservatifs, de seringues et d'aiguilles dans des o</t>
    </r>
    <r>
      <rPr>
        <sz val="11"/>
        <color theme="1"/>
        <rFont val="Arial"/>
        <family val="2"/>
      </rPr>
      <t xml:space="preserve">nglets distincts. Dans ces tableaux, la rangée du module prioritaire a été préremplie. </t>
    </r>
    <r>
      <rPr>
        <sz val="11"/>
        <color rgb="FFFF0000"/>
        <rFont val="Calibri"/>
        <family val="2"/>
        <scheme val="minor"/>
      </rPr>
      <t>Veuillez noter que seul un tableau doit être complété pour les populations prioritaires. Des tableaux séparés par population ne sont pas nécessaires.</t>
    </r>
    <r>
      <rPr>
        <sz val="11"/>
        <color theme="1"/>
        <rFont val="Arial"/>
        <family val="2"/>
      </rPr>
      <t xml:space="preserve">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 Notez que l'intervention conjointe de lutte contre la tuberculose et le VIH est associée à plusieurs indicateurs de couverture, ce qui impose de remplir des tableaux distincts. Souvenez-vous que vous ne devez remplir que les tableaux des modules prioritaires 3 à 6. </t>
    </r>
  </si>
  <si>
    <r>
      <t>Programmes de prévention pour les populations clés - PrEP
Remplissez un tableau distinct pour chacune des populations clés concernées, par exemple : les professionnel(le)s du sexe et leurs clients ; les hommes qui ont des rapports sexuels avec d'autres hommes ; les personnes transgenres ; les personnes incarcérées ou se trouvant dans d'autres lieux fermés;  l</t>
    </r>
    <r>
      <rPr>
        <sz val="11"/>
        <color rgb="FFFF0000"/>
        <rFont val="Calibri"/>
        <family val="2"/>
        <scheme val="minor"/>
      </rPr>
      <t xml:space="preserve">es adolescentes et les jeunes femmes dans des contextes à forte prévalence;  les hommes dans des contextes à forte prévalence; les autres populations vulnérables, en relation avec la demande de financement. </t>
    </r>
    <r>
      <rPr>
        <sz val="11"/>
        <color theme="1"/>
        <rFont val="Arial"/>
        <family val="2"/>
      </rPr>
      <t xml:space="preserve">Sélectionnez la population clé concernée dans la liste déroulante prévue à côté de la cellule « Population cible ».  Si vous sélectionnez « autres populations vulnérables », veuillez préciser ci-dessous de quelle population il s'agit dans la section des observations. </t>
    </r>
  </si>
  <si>
    <r>
      <t xml:space="preserve">Programas de prevención </t>
    </r>
    <r>
      <rPr>
        <sz val="11"/>
        <color rgb="FFFF0000"/>
        <rFont val="Arial"/>
        <family val="2"/>
      </rPr>
      <t>para</t>
    </r>
    <r>
      <rPr>
        <sz val="11"/>
        <rFont val="Arial"/>
        <family val="2"/>
      </rPr>
      <t xml:space="preserve"> poblaciones clave - </t>
    </r>
    <r>
      <rPr>
        <sz val="11"/>
        <color rgb="FFFF0000"/>
        <rFont val="Arial"/>
        <family val="2"/>
      </rPr>
      <t>PrEP</t>
    </r>
    <r>
      <rPr>
        <sz val="11"/>
        <rFont val="Arial"/>
        <family val="2"/>
      </rPr>
      <t xml:space="preserve">. 
</t>
    </r>
    <r>
      <rPr>
        <sz val="11"/>
        <color rgb="FFFF0000"/>
        <rFont val="Arial"/>
        <family val="2"/>
      </rPr>
      <t>Por favor,</t>
    </r>
    <r>
      <rPr>
        <sz val="11"/>
        <rFont val="Arial"/>
        <family val="2"/>
      </rPr>
      <t xml:space="preserve"> complete una tabla para cada una de las poblaciones clave objetivo relevantes en la solicitud de financiación, por ejemplo, trabajadores del sexo y sus clientes, hombres que tienen relaciones sexuales con hombres, personas transgénero, personas que se inyectan drogas y sus parejas, personas en las prisiones y otros entornos de reclusión,</t>
    </r>
    <r>
      <rPr>
        <sz val="11"/>
        <color rgb="FFFF0000"/>
        <rFont val="Arial"/>
        <family val="2"/>
      </rPr>
      <t xml:space="preserve"> las adolescentes y mujeres jóvenes en entornos de alta prevalencia; hombres en entornos de alta prevalencia y otras poblaciones vulnerables. </t>
    </r>
    <r>
      <rPr>
        <sz val="11"/>
        <rFont val="Arial"/>
        <family val="2"/>
      </rPr>
      <t xml:space="preserve">Una vez seleccionado este módulo, elija la población clave deseada usando la lista desplegable incluida junto a la fila "Población </t>
    </r>
    <r>
      <rPr>
        <sz val="11"/>
        <color rgb="FFFF0000"/>
        <rFont val="Arial"/>
        <family val="2"/>
      </rPr>
      <t>objetivo</t>
    </r>
    <r>
      <rPr>
        <sz val="11"/>
        <rFont val="Arial"/>
        <family val="2"/>
      </rPr>
      <t xml:space="preserve">". En caso de seleccionar "otras poblaciones vulnerables", especifique de cuáles se trata </t>
    </r>
    <r>
      <rPr>
        <sz val="11"/>
        <color rgb="FFFF0000"/>
        <rFont val="Arial"/>
        <family val="2"/>
      </rPr>
      <t>en la sección de comentarios debajo.</t>
    </r>
  </si>
  <si>
    <t xml:space="preserve">Indicateur de couverture : Pourcentage de populations clés éligibles qui ont initié une PrEP antiretrovirale orale au cours des 12 derniers mois </t>
  </si>
  <si>
    <t>Prévention - populations clés - PrEP</t>
  </si>
  <si>
    <t xml:space="preserve">Prevención - poblaciones clave - PrEP </t>
  </si>
  <si>
    <t xml:space="preserve">Pourcentage de populations clés éligibles qui ont initié une PrEP antiretrovirale orale au cours des 12 derniers mois </t>
  </si>
  <si>
    <t>Prévention -  Programmation et gestion du préservatif au niveau national</t>
  </si>
  <si>
    <t>Cible du pays :
1) Se rapporte au plan stratégique national ou à toute autre cible du pays approuvée plus récemment.
2) « # » correspond au nombre de personnes appartenant à la population clé spécifiée, censées recevoir une PrEP durant l'année indiquée
3) « % » correspond au pourcentage de personnes devant recevoir une PrEP dans l'effectif total estimé des populations clé spécifiée durant l'année indiquée</t>
  </si>
  <si>
    <t>PrEP pop. clés</t>
  </si>
  <si>
    <t>Country Target Already Covered:
Country target already covered is broken down into the target planned to be covered by domestic resources (line C1), and external resources (line C2). National private sector investments are to be included under domestic sources. In cases where part of the target during the year is covered by a current Global Fund grant (that ends prior to the start of the new implementation period), it can be included in the external resources category. 
Once C1 and C2 are filled in, the total of country target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t>
  </si>
  <si>
    <t>Country Need Already Covered:
Country need already covered is broken down into need planned to be covered by domestic resources (line C1), and external resources (line C2). National private sector investments are to be included under domestic sources. In cases where part of the need during the year is covered by a current Global Fund grant (that ends prior to the start of the new implementation period), it can be included in the external resources category.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If this is the case, specify in the comments box that line C1 refers to the total of both domestic and external resources.</t>
  </si>
  <si>
    <t>Prévention - personnes qui s'injectent des drogues et leurs partenaires</t>
  </si>
  <si>
    <t>Country target:
1) Refers to NSP or any other latest agreed country target
2) "#" refers to the number of PWID expected to receive opiod substitution therapy
3) "%" refers to the percentage of PWID receiving opioid substitution therapy among the estimated PWID</t>
  </si>
  <si>
    <t xml:space="preserve">Prevention programs for key populations-PrEP
Please complete separate tables for each of the targeted key populations- e.g. sex workers and their clients; men who have sex with men; transgender people; people who inject drugs and their partners; people in prisons and other closed settings; adolescent girls and young women in high prevalence settings; and men in high prevalence settings, as relevant to the funding request. Select the relevant key population using the drop-down list provided next to the "Target Population" line.  If "other vulnerable populations", please specify in the comments section below. </t>
  </si>
  <si>
    <t>Country target:
1) Refers to NSP or any other latest agreed country target
2) "#" refers to the number of people in the specified key population expected to receive PrEP in the specified year
3) "%" refers to the percentage of people to receive PrEP among the estimated number of people in the specified key population in the specified year</t>
  </si>
  <si>
    <t xml:space="preserve">Country target: 
1) Refers to NSP or any other latest agreed country target
2) "#"- refers to the number of males targeted to be circumcised </t>
  </si>
  <si>
    <t>personnes qui s'injectent des drogues et leurs partenaires </t>
  </si>
  <si>
    <t>* Ces modules concernent les populations clés et vulnérables suivantes : les hommes qui ont des rapports sexuels avec d'autres hommes; les professionnel(le)s du sexe et leurs clients; les personnes transgenres ; personnes qui s'injectent des drogues et leurs partenaires  ; les personnes incarcérées ou se trouvant dans d'autres lieux fermés; les adolescentes et les jeunes femmes dans des contextes à forte prévalence;  les hommes dans des contextes à forte prévalence; les autres populations vulnérables.
** Ce module couvre les populations suivantes:  les hommes qui ont des rapports sexuels avec d'autres hommes; les professionnel(le)s du sexe et leurs clients ; les personnes transgenres; les personnes qui s'injectent des drogues et leurs partenaires ; les personnes incarcérées ou se trouvant dans d'autres lieux fermés ; les adolescentes et les jeunes femmes dans des contextes à forte prévalence;  les hommes dans des contextes à forte prévalence; les partenaires des personnes vivant avec le VIH et les autres populations vulnérables.</t>
  </si>
  <si>
    <t xml:space="preserve">Programmes de prévention pour les populations clés - ensemble de services définis
Remplissez un tableau distinct pour chacune des populations clés concernées, par exemple : les professionnel(le)s du sexe et leurs clients ; les hommes qui ont des rapports sexuels avec d'autres hommes ; les personnes transgenres ; personnes qui s'injectent des drogues et leurs partenaires  ; les personnes incarcérées ou se trouvant dans d'autres lieux fermés ; les adolescentes et les jeunes femmes dans des contextes à forte prévalence;  les hommes dans des contextes à forte prévalence; les autres populations vulnérables, en relation avec la demande de financement. Après avoir sélectionné ce module, sélectionnez la population clé souhaitée dans la liste déroulante prévue à côté de la cellule « Population cible ». Si vous sélectionnez « autres populations vulnérables », veuillez préciser de quelle population il s'agit dans la section des observations. </t>
  </si>
  <si>
    <t>Services de dépistage différenciés du VIH 
Remplissez un tableau distinct pour chacune des populations clés concernées, par exemple : les professionnel(le)s du sexe et leurs clients ; les hommes qui ont des rapports sexuels avec d'autres hommes ; les personnes transgenres ; personnes qui s'injectent des drogues et leurs partenaires  ; les personnes incarcérées ou se trouvant dans d'autres lieux fermés ; les adolescentes et les jeunes femmes dans des contextes à forte prévalence;  les hommes dans des contextes à forte prévalence; les autres populations vulnérables, en relation avec la demande de financement. Sélectionnez la population clé concernée dans la liste déroulante prévue à côté de la cellule « Population cible ».  Si vous sélectionnez « autres populations vulnérables », veuillez préciser ci-dessous de quelle population il s'agit dans la section des observations.</t>
  </si>
  <si>
    <t xml:space="preserve">Estimation des populations dans le besoin/à risque :
Correspond au nombre estimé de personnes qui s'injectent des drogues </t>
  </si>
  <si>
    <t xml:space="preserve">Cible du pays :
1) Se rapporte au plan stratégique national ou à toute autre cible du pays approuvée plus récemment
2) « # » correspond au nombre d'aiguilles et de seringues qu'il est prévu de distribuer chaque année dans le cadre du programme, en fonction de la couverture attendue des populations des personnes qui s'injectent des drogues et du nombre d'aiguilles et de seringues nécessaires par personne concernée.  </t>
  </si>
  <si>
    <t>Indicateur de couverture : Pourcentage de personnes qui s'injectent des drogues suivant un traitement de substitution aux opiacés.</t>
  </si>
  <si>
    <t xml:space="preserve">Estimation des populations dans le besoin/à risque :
Se rapporte au nombre estimé de personnes qui s'injectent des drogues </t>
  </si>
  <si>
    <t>Cible du pays :
1) Se rapporte au plan stratégique national ou à toute autre cible du pays approuvée plus récemment
2) « # » correspond au nombre de personnes qui s'injectent des drogues censés recevoir un traitement substitutif aux opiacés
3) « % » correspond au pourcentage de personnes qui s'injectent des drogues recevant un traitement de substitution aux opiacés dans la population estimée des personnes qui s'injectent des drogues</t>
  </si>
  <si>
    <t>personnes qui s'injectent des drogues et leurs partenaires</t>
  </si>
  <si>
    <t xml:space="preserve">Pourcentage de personnes qui s'injectent des drogues suivant un traitement de substitution aux opiacés </t>
  </si>
  <si>
    <t xml:space="preserve">Pourcentage de personnes qui s'injectent des drogues bénéficiant de programmes de distribution d'aiguilles et de seringues </t>
  </si>
  <si>
    <t>Programmes de prévention destinés aux personnes qui s'injectent des drogues et à leurs partenaires - Programmes de distribution d'aiguilles et de seringues</t>
  </si>
  <si>
    <t>Programmes de prévention destinés aux personnes qui s'injectent des drogues et à leurs partenaires - Traitements de substitution aux opiacés et autres traitements de la dépendance pour les usagers de drogues injectables</t>
  </si>
  <si>
    <t>Please complete separate programmatic gap tables for 3-6 priority modules in the HIV funding request. The following list specifies possible modules and corresponding relevant interventions. Complete tables only for the interventions/indicators that are supported and for which funding is being requested. Refer to the "Modular Framework Handbook" for a list of all modules, interventions with accompanying descriptions, and indicators. 
For guidance when completing this programmatic gap table, please refer to the Global Fund HIV Information Note, wherein the appropriate technical guidance documents are referenced. 
Priority Modules:
- Treatment, care and support
          -&gt; Differentiated ART service delivery and care
- TB/HIV
          -&gt; Screening, testing and diagnosis
          -&gt; Treatment
          -&gt; TB Preventive Therapy (TPT)
- PMTCT
          -&gt; Preventing vertical HIV transmission
- Prevention - key and vulnerable populations*
          -&gt; defined package of services 
          -&gt; PrEP
- Prevention programs for PWID and their partners
          -&gt; Needle and syringe programs
          -&gt; OST and other drug dependence treatment for PWIDs
- Prevention
          -&gt; voluntary male medical circumcision
          -&gt; national condom programming - all priority populations
- Differentiated HIV testing services**</t>
  </si>
  <si>
    <t>Coverage Indicator:
Percentage of PLHIV on ART who initiated TB preventive therapy among those eligible during the reporting period</t>
  </si>
  <si>
    <t>Estimated population in need/at risk:
Refers to the estimated number of people living with HIV (PLHIV) enrolled on ART who are eligible for TB preventive therapy (TPT)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t>
  </si>
  <si>
    <t>Country target:
1) refers to NSP or any other latest agreed country target
2) # refers to the number of PLHIV on ART who started on treatment for latent TB infection
3) % refers to the percentage of PLHIV on ART who started on treatment for latent TB infection among those eligible for TPT (see above).</t>
  </si>
  <si>
    <t>Comments/Assumptions:
1) Specify the target area.
2) Specify who are the other sources of funding</t>
  </si>
  <si>
    <t>TB/HIV - TPT initiation among PLHIV</t>
  </si>
  <si>
    <t>Programmatic Gap:
The programmatic gap is calculated based on total need (line A)</t>
  </si>
  <si>
    <t>TPT inititation among PLHIV</t>
  </si>
  <si>
    <t>Percentage of PLHIV on ART who initiated TB preventive therapy among those eligible during the reporting period</t>
  </si>
  <si>
    <t>TB.HIV collaborative interventions_TPT inititation among PLHIV</t>
  </si>
  <si>
    <t xml:space="preserve">TB/VIH - Initiation du traitement préventif de la tuberculose (TPT) pour les PVVIH </t>
  </si>
  <si>
    <t xml:space="preserve">Indicateur de couverture:
Pourcentage de PVVIH sous traitement antirétroviral qui ont commencé la thérapie préventive de la tuberculose parmi ceux éligibles durant la période de rapportage </t>
  </si>
  <si>
    <t>Population estimée dans le besoin / à risque:
Désigne le nombre estimé de personnes vivant avec le VIH et enrôlées dans le traitement antirétroviral qui sont éligibles pour un traitement préventif de la tuberculose pendant la période de rapportage.
Ceci exclut les PVVIH sous traitement antituberculeux ou qui sont en cours d'évaluation d’une tuberculose active. Dans la mesure du possible, cela devrait également exclure les PVVIH qui ont déjà terminé le TPT dans les délais recommandés par la politique nationale, ainsi que les PVVIH jugées cliniquement non éligibles en raison de comorbidités et de contre-indications, telles que l’hépatite active, l'alcoolisme chronique, l'utilisation d'autres médicaments comme les médicaments potentiellement hépatotoxiques (névirapine par exemple) et/ou la neuropathie</t>
  </si>
  <si>
    <t xml:space="preserve">Country target:
1) refers to NSP or any other latest agreed country target
2) # se rapporte au nombre de PVVIH sous traitement antirétroviral qui ont commencé un traitement pour une infection tuberculeuse latente 
3) % refers to the percentage of PVVIH sous traitement antirétroviral qui ont commencé un traitement pour une infection tuberculeuse latente parmi ceux qui sont éligibles pour le TPT (voir ci-dessus). </t>
  </si>
  <si>
    <t>Interventions conjointes TB.VIH_Patients tuberculeux séropositifs au VIH sous TAR</t>
  </si>
  <si>
    <t xml:space="preserve">Interventions conjointes TB.VIH_Initiation du traitement préventif de la tuberculose (TPT) pour les PVVIH </t>
  </si>
  <si>
    <t xml:space="preserve">Pourcentage de PVVIH sous traitement antirétroviral qui ont commencé la thérapie préventive de la tuberculose parmi ceux éligibles durant la période de rapportage </t>
  </si>
  <si>
    <t>Merci de bien vouloir remplir des tableaux séparés pour les modules prioritaires 3 à 6 dans la demande de financement relative au VIH. La liste suivante précise les modules possibles et les interventions correspondantes. Ne remplissez des tableaux que pour les interventions/indicateurs pouvant faire l'objet d'un soutien et pour lesquels un financement est demandé. Consultez le Manuel du cadre modulaire pour obtenir la liste de l'ensemble des modules et des interventions, avec leur description et leurs indicateurs respectifs. 
Pour obtenir des indications au moment de remplir ce tableau des déficits programmatiques, reportez-vous à la note d'information du Fonds mondial sur le VIH, dans laquelle vous trouverez des références aux documents d'orientation techniques appropriés. 
Modules prioritaires :
- Traitement, prise en charge et soutien
          -&gt; Prestation de services et prise en charge différenciées pour les traitements antirétroviraux
- TB/VIH
          -&gt; Dépistage, test et diagnostic
          -&gt; Traitement
          -&gt; Traitement préventif de la tuberculose (TPT)
- PTME
          -&gt; Prévention de la transmission verticale du VIH
- Programmes de prévention destinés aux populations clés*
          -&gt; Ensemble défini de services 
          -&gt; Prophylaxie préexposition (PrEP)
- Programmes de prévention destinés aux personnes qui s'injectent des drogues et à leurs partenaires
          -&gt; Programmes liés aux aiguilles et de seringues
          -&gt; Traitements de substitution aux opiacés et autres traitements de la dépendance pour les usagers de drogues injectables
- Prévention 
          -&gt; Circoncision médicale masculine volontaire
          -&gt; Programmmation nationale des préservatifs - toutes les populations prioritaires
- Services de dépistage différenciés du VIH**</t>
  </si>
  <si>
    <r>
      <t xml:space="preserve">Por favor, complete separadamente las tablas de brecha programática para </t>
    </r>
    <r>
      <rPr>
        <sz val="11"/>
        <color rgb="FFFF0000"/>
        <rFont val="Arial"/>
        <family val="2"/>
      </rPr>
      <t xml:space="preserve">3-6 módulos prioritarios de su </t>
    </r>
    <r>
      <rPr>
        <sz val="11"/>
        <rFont val="Arial"/>
        <family val="2"/>
      </rPr>
      <t xml:space="preserve">solicitud de financiamiento para el VIH. La lista siguiente indica los módulos posibles  y las intervenciones pertinentes correspondientes. Complete las tablas solo para las </t>
    </r>
    <r>
      <rPr>
        <sz val="11"/>
        <color rgb="FFFF0000"/>
        <rFont val="Arial"/>
        <family val="2"/>
      </rPr>
      <t>intervenciones/indicadores</t>
    </r>
    <r>
      <rPr>
        <sz val="11"/>
        <rFont val="Arial"/>
        <family val="2"/>
      </rPr>
      <t xml:space="preserve"> incluidos en la solicitud de financiamiento.</t>
    </r>
    <r>
      <rPr>
        <sz val="11"/>
        <color rgb="FFFF0000"/>
        <rFont val="Arial"/>
        <family val="2"/>
      </rPr>
      <t xml:space="preserve"> Para consultar l</t>
    </r>
    <r>
      <rPr>
        <sz val="11"/>
        <rFont val="Arial"/>
        <family val="2"/>
      </rPr>
      <t xml:space="preserve">a lista de todos los módulos, las intervenciones con su correspondiente descripción y los indicadores, </t>
    </r>
    <r>
      <rPr>
        <sz val="11"/>
        <color rgb="FFFF0000"/>
        <rFont val="Arial"/>
        <family val="2"/>
      </rPr>
      <t>refiérase al</t>
    </r>
    <r>
      <rPr>
        <sz val="11"/>
        <rFont val="Arial"/>
        <family val="2"/>
      </rPr>
      <t xml:space="preserve"> Manual del Marco Modular. 
</t>
    </r>
    <r>
      <rPr>
        <sz val="11"/>
        <color rgb="FFFF0000"/>
        <rFont val="Arial"/>
        <family val="2"/>
      </rPr>
      <t xml:space="preserve">Para más información al completar esta tabla de brechas programáticas, por favor, refiérase a la nota informativa de VIH del Fondo Mundial, donde se incluyen referencias a las guías técnicas recomendadas.  
</t>
    </r>
    <r>
      <rPr>
        <sz val="11"/>
        <rFont val="Arial"/>
        <family val="2"/>
      </rPr>
      <t xml:space="preserve">
Módulos prioritarios:
- Tratamiento, atención y apoyo
          -&gt; Prestación de servicios diferenciados de</t>
    </r>
    <r>
      <rPr>
        <sz val="11"/>
        <color rgb="FFFF0000"/>
        <rFont val="Arial"/>
        <family val="2"/>
      </rPr>
      <t xml:space="preserve"> atención al VIH y </t>
    </r>
    <r>
      <rPr>
        <sz val="11"/>
        <rFont val="Arial"/>
        <family val="2"/>
      </rPr>
      <t>de tratamiento antirretroviral</t>
    </r>
    <r>
      <rPr>
        <sz val="11"/>
        <color rgb="FFFF0000"/>
        <rFont val="Arial"/>
        <family val="2"/>
      </rPr>
      <t xml:space="preserve"> </t>
    </r>
    <r>
      <rPr>
        <sz val="11"/>
        <rFont val="Arial"/>
        <family val="2"/>
      </rPr>
      <t xml:space="preserve">
- </t>
    </r>
    <r>
      <rPr>
        <sz val="11"/>
        <color rgb="FFFF0000"/>
        <rFont val="Arial"/>
        <family val="2"/>
      </rPr>
      <t>TB</t>
    </r>
    <r>
      <rPr>
        <sz val="11"/>
        <rFont val="Arial"/>
        <family val="2"/>
      </rPr>
      <t xml:space="preserve">/VIH
          </t>
    </r>
    <r>
      <rPr>
        <sz val="11"/>
        <color rgb="FFFF0000"/>
        <rFont val="Arial"/>
        <family val="2"/>
      </rPr>
      <t xml:space="preserve">-&gt; Tamizaje, pruebas y diagnóstico
          -&gt; Tratamiento
          -&gt; Terapia preventiva para tuberculosis </t>
    </r>
    <r>
      <rPr>
        <sz val="11"/>
        <rFont val="Arial"/>
        <family val="2"/>
      </rPr>
      <t xml:space="preserve">
- PTMI 
          -&gt; Prevención de la transmisión </t>
    </r>
    <r>
      <rPr>
        <sz val="11"/>
        <color rgb="FFFF0000"/>
        <rFont val="Arial"/>
        <family val="2"/>
      </rPr>
      <t>materno-infantil</t>
    </r>
    <r>
      <rPr>
        <sz val="11"/>
        <rFont val="Arial"/>
        <family val="2"/>
      </rPr>
      <t xml:space="preserve"> del VIH
</t>
    </r>
    <r>
      <rPr>
        <sz val="11"/>
        <color rgb="FFFF0000"/>
        <rFont val="Arial"/>
        <family val="2"/>
      </rPr>
      <t>- Prevención- poblaciones clave y vulnerables*
          -&gt; paquete definido de servicios 
          -&gt; PrEP</t>
    </r>
    <r>
      <rPr>
        <sz val="11"/>
        <rFont val="Arial"/>
        <family val="2"/>
      </rPr>
      <t xml:space="preserve">
- Programas de prevención para personas que se inyectan drogas y sus parejas
          -&gt; Programas de agujas y jeringuillas 
          -&gt; Terapia de sustitución de opiáceos y otros tratamientos para la drogodependencia de personas que se inyectan drogas
- </t>
    </r>
    <r>
      <rPr>
        <sz val="11"/>
        <color rgb="FFFF0000"/>
        <rFont val="Arial"/>
        <family val="2"/>
      </rPr>
      <t>Prevención</t>
    </r>
    <r>
      <rPr>
        <sz val="11"/>
        <rFont val="Arial"/>
        <family val="2"/>
      </rPr>
      <t xml:space="preserve"> 
          -&gt; circuncisión </t>
    </r>
    <r>
      <rPr>
        <sz val="11"/>
        <color rgb="FFFF0000"/>
        <rFont val="Arial"/>
        <family val="2"/>
      </rPr>
      <t>médica</t>
    </r>
    <r>
      <rPr>
        <sz val="11"/>
        <rFont val="Arial"/>
        <family val="2"/>
      </rPr>
      <t xml:space="preserve"> masculina </t>
    </r>
    <r>
      <rPr>
        <sz val="11"/>
        <color rgb="FFFF0000"/>
        <rFont val="Arial"/>
        <family val="2"/>
      </rPr>
      <t>voluntaria</t>
    </r>
    <r>
      <rPr>
        <sz val="11"/>
        <rFont val="Arial"/>
        <family val="2"/>
      </rPr>
      <t xml:space="preserve">
          -&gt;</t>
    </r>
    <r>
      <rPr>
        <sz val="11"/>
        <color rgb="FFFF0000"/>
        <rFont val="Arial"/>
        <family val="2"/>
      </rPr>
      <t xml:space="preserve"> Planificación nacional de distribución de condones - todas las poblaciones prioritarias
- Servicios diferenciados de pruebas de VIH**</t>
    </r>
  </si>
  <si>
    <t>Indicador de cobertura:
Porcentaje de personas que viven con el VIH recibiendo terapia antirretroviral que han iniciado la terapia preventiva de TB entre aquellos elegibles durante el período de reporte</t>
  </si>
  <si>
    <t>Población estimada en necesidad/en riesgo:
Se refiere al número estimado de personas que viven con VIH que han iniciado tratamiento antirretroviral que son elegibles para terapia preventiva de TB durante el periodo.
Esto excluye a personas que viven con VIH que se encuentren en tratamiento o que están siendo evaluados para TB activa. Cuando sea posible, debería también excluir a personas que viven con VIH que hayan completado la terapia preventiva para tuberculosis en el tiempo establecido en las normas nacionales, así como también aquellas personas que viven con VIH estimadas no elegibles clínicamente debido comorbilidades y contraindicaciones, incluyendo hepatitis activa, alcoholismo crónico, uso de otros medicamentos que son potencialmente hepatotóxicos como la nevirapina y/o neuropatía.</t>
  </si>
  <si>
    <t>Meta del país:
1) Se refiere al Plan Estratégico Nacional (PEN) o a la última meta del país acordada.
2) # se refiere al número de personas que viven con VIH en tratamiento antirretroviral que iniciaron el tratamiento para la infección latente por tuberculosis.
3) % se refiere al porcentaje de personas que viven con VIH en tratamiento antirretroviral que iniciaron el tratamiento para la infección latente por tuberculosis entre aquellos elegibles para terapia preventiva de TB ( véase arriba).</t>
  </si>
  <si>
    <t>Tuberculosis/VIH - Inicio de terapia preventiva para tuberculosis en personas que viven con el VIH</t>
  </si>
  <si>
    <t>Inicio de terapia preventiva para tuberculosis en personas que viven con el VIH</t>
  </si>
  <si>
    <t>Porcentaje de personas que viven con el VIH recibiendo terapia antirretroviral que han iniciado la terapia preventiva de TB entre aquellos elegibles durante el período de reporte</t>
  </si>
  <si>
    <t>Intervenciones conjuntas de tuberculosis y VIH. Inicio de terapia preventiva para tuberculosis en personas que viven con el VIH</t>
  </si>
  <si>
    <t>Interventions conjointes TB.VIH_Dépistage de la tuberculose chez les patients séropositifs au VIH</t>
  </si>
  <si>
    <t xml:space="preserve">Initiation du traitement préventif de la tuberculose pour les PVVIH </t>
  </si>
  <si>
    <t>Traitement prise en charge et soutien_Prestation de services et prise en charge différenciées pour les traitements antirétroviraux</t>
  </si>
  <si>
    <t>Chad</t>
  </si>
  <si>
    <t>Afganistán</t>
  </si>
  <si>
    <t>Albanie</t>
  </si>
  <si>
    <t>Algérie</t>
  </si>
  <si>
    <t>Argelia</t>
  </si>
  <si>
    <t>Andorre</t>
  </si>
  <si>
    <t>Antigua-et-Barbuda</t>
  </si>
  <si>
    <t>Antigua y Barbuda</t>
  </si>
  <si>
    <t>Argentine</t>
  </si>
  <si>
    <t>Arménie</t>
  </si>
  <si>
    <t>Australie</t>
  </si>
  <si>
    <t>Autriche</t>
  </si>
  <si>
    <t>Azerbaïdjan</t>
  </si>
  <si>
    <t>Azerbaiyán</t>
  </si>
  <si>
    <t>Bahamas (las)</t>
  </si>
  <si>
    <t>Bahreïn</t>
  </si>
  <si>
    <t>Bahrein</t>
  </si>
  <si>
    <t>Barbade</t>
  </si>
  <si>
    <t>Biélorussie</t>
  </si>
  <si>
    <t>Belarús</t>
  </si>
  <si>
    <t>Belgique</t>
  </si>
  <si>
    <t>Bélgica</t>
  </si>
  <si>
    <t>Belice</t>
  </si>
  <si>
    <t>Bénin</t>
  </si>
  <si>
    <t>Bhoutan</t>
  </si>
  <si>
    <t>Bhután</t>
  </si>
  <si>
    <t>Bolivie (Etat Plurinational)</t>
  </si>
  <si>
    <t>Bolivia (Estado Plurinacional)</t>
  </si>
  <si>
    <t>Bosnie-Herzégovine</t>
  </si>
  <si>
    <t>Bosnia y Herzegovina</t>
  </si>
  <si>
    <t>Brésil</t>
  </si>
  <si>
    <t>Brasil</t>
  </si>
  <si>
    <t>Brunéi Darussalam</t>
  </si>
  <si>
    <t>Bulgarie</t>
  </si>
  <si>
    <t>Cabo Verde</t>
  </si>
  <si>
    <t>Cambodge</t>
  </si>
  <si>
    <t>Camboya</t>
  </si>
  <si>
    <t>Cameroun</t>
  </si>
  <si>
    <t>Camerún</t>
  </si>
  <si>
    <t>Canadá</t>
  </si>
  <si>
    <t>République centrafricaine</t>
  </si>
  <si>
    <t>República Centroafricana</t>
  </si>
  <si>
    <t>Tchad</t>
  </si>
  <si>
    <t>Chili</t>
  </si>
  <si>
    <t>Chine</t>
  </si>
  <si>
    <t>Colombie</t>
  </si>
  <si>
    <t>Comores</t>
  </si>
  <si>
    <t>Comoras</t>
  </si>
  <si>
    <t>Congo (République démocratique)</t>
  </si>
  <si>
    <t>Congo (República Democrática)</t>
  </si>
  <si>
    <t>Îles Cook</t>
  </si>
  <si>
    <t>Islas Cook</t>
  </si>
  <si>
    <t>Croatie</t>
  </si>
  <si>
    <t>Croacia</t>
  </si>
  <si>
    <t>Curaçao</t>
  </si>
  <si>
    <t>Chypre</t>
  </si>
  <si>
    <t>Chipre</t>
  </si>
  <si>
    <t>République tchèque</t>
  </si>
  <si>
    <t>República Checa</t>
  </si>
  <si>
    <t>Danemark</t>
  </si>
  <si>
    <t>Dinamarca</t>
  </si>
  <si>
    <t>Dominique</t>
  </si>
  <si>
    <t>République dominicaine</t>
  </si>
  <si>
    <t>República Dominicana</t>
  </si>
  <si>
    <t>Équateur</t>
  </si>
  <si>
    <t>Égypte</t>
  </si>
  <si>
    <t>Egipto</t>
  </si>
  <si>
    <t>Salvador</t>
  </si>
  <si>
    <t>Guinée équatoriale</t>
  </si>
  <si>
    <t>Guinea Ecuatorial</t>
  </si>
  <si>
    <t>Érythrée</t>
  </si>
  <si>
    <t>Estonie</t>
  </si>
  <si>
    <t>Eswatini</t>
  </si>
  <si>
    <t>Éthiopie</t>
  </si>
  <si>
    <t>Etiopía</t>
  </si>
  <si>
    <t>Îles Féroé</t>
  </si>
  <si>
    <t>Islas Feroe</t>
  </si>
  <si>
    <t>Fidji</t>
  </si>
  <si>
    <t>Finlande</t>
  </si>
  <si>
    <t>Finlandia</t>
  </si>
  <si>
    <t>Francia</t>
  </si>
  <si>
    <t>Gabón</t>
  </si>
  <si>
    <t>Gambie</t>
  </si>
  <si>
    <t>Géorgie</t>
  </si>
  <si>
    <t>Allemagne</t>
  </si>
  <si>
    <t>Alemania</t>
  </si>
  <si>
    <t>Grèce</t>
  </si>
  <si>
    <t>Grecia</t>
  </si>
  <si>
    <t>Groenland</t>
  </si>
  <si>
    <t>Groenlandia</t>
  </si>
  <si>
    <t>Grenade</t>
  </si>
  <si>
    <t>Granada</t>
  </si>
  <si>
    <t>Guinée</t>
  </si>
  <si>
    <t>Guinée-Bissau</t>
  </si>
  <si>
    <t>Guinea Bissau</t>
  </si>
  <si>
    <t>Haïti</t>
  </si>
  <si>
    <t>Haití</t>
  </si>
  <si>
    <t>Saint-Siège (Vatican)</t>
  </si>
  <si>
    <t>Santa Sede</t>
  </si>
  <si>
    <t>Hongrie</t>
  </si>
  <si>
    <t>Hungría</t>
  </si>
  <si>
    <t>Islande</t>
  </si>
  <si>
    <t>Islandia</t>
  </si>
  <si>
    <t>Inde</t>
  </si>
  <si>
    <t>Indonésie</t>
  </si>
  <si>
    <t>Iran</t>
  </si>
  <si>
    <t>Irán (República Islámica)</t>
  </si>
  <si>
    <t>Irak</t>
  </si>
  <si>
    <t>Irlande</t>
  </si>
  <si>
    <t>Irlanda</t>
  </si>
  <si>
    <t>Israël</t>
  </si>
  <si>
    <t>Italie</t>
  </si>
  <si>
    <t>Italia</t>
  </si>
  <si>
    <t>Jamaïque</t>
  </si>
  <si>
    <t>Japon</t>
  </si>
  <si>
    <t>Japón</t>
  </si>
  <si>
    <t>Jordanie</t>
  </si>
  <si>
    <t>Jordania</t>
  </si>
  <si>
    <t>Kazajstán</t>
  </si>
  <si>
    <t>Corée du Nord</t>
  </si>
  <si>
    <t>Corea (República Popular Democrática)</t>
  </si>
  <si>
    <t>Corée du Sud</t>
  </si>
  <si>
    <t>Corea (lRepública)</t>
  </si>
  <si>
    <t>Koweït</t>
  </si>
  <si>
    <t>Kirghizistan</t>
  </si>
  <si>
    <t>Kirguistán</t>
  </si>
  <si>
    <t>Laos</t>
  </si>
  <si>
    <t>Lao, (República Democrática Popular)</t>
  </si>
  <si>
    <t>Lettonie</t>
  </si>
  <si>
    <t>Letonia</t>
  </si>
  <si>
    <t>Liban</t>
  </si>
  <si>
    <t>Líbano</t>
  </si>
  <si>
    <t>Libye</t>
  </si>
  <si>
    <t>Libia</t>
  </si>
  <si>
    <t>Lituanie</t>
  </si>
  <si>
    <t>Lituania</t>
  </si>
  <si>
    <t>Luxemburgo</t>
  </si>
  <si>
    <t>Malaisie</t>
  </si>
  <si>
    <t>Malasia</t>
  </si>
  <si>
    <t>Maldivas</t>
  </si>
  <si>
    <t>Malí</t>
  </si>
  <si>
    <t>Malte</t>
  </si>
  <si>
    <t>Îles Marshall</t>
  </si>
  <si>
    <t>Islas Marshall</t>
  </si>
  <si>
    <t>Mauritanie</t>
  </si>
  <si>
    <t>Maurice</t>
  </si>
  <si>
    <t>Mauricio</t>
  </si>
  <si>
    <t>Mexique</t>
  </si>
  <si>
    <t>México</t>
  </si>
  <si>
    <t>Micronésie</t>
  </si>
  <si>
    <t>Micronesia (Estados Federados)</t>
  </si>
  <si>
    <t>Moldavie</t>
  </si>
  <si>
    <t>Moldova (lRepública)</t>
  </si>
  <si>
    <t>Mónaco</t>
  </si>
  <si>
    <t>Mongolie</t>
  </si>
  <si>
    <t>Monténégro</t>
  </si>
  <si>
    <t>Maroc</t>
  </si>
  <si>
    <t>Marruecos</t>
  </si>
  <si>
    <t>Birmanie</t>
  </si>
  <si>
    <t>Namibie</t>
  </si>
  <si>
    <t>Népal</t>
  </si>
  <si>
    <t>Pays-Bas</t>
  </si>
  <si>
    <t>Países Bajos</t>
  </si>
  <si>
    <t>Nouvelle-Zélande</t>
  </si>
  <si>
    <t>Nueva Zelandia</t>
  </si>
  <si>
    <t>Níger</t>
  </si>
  <si>
    <t>North Macedonia</t>
  </si>
  <si>
    <t>Macédoine du Nord</t>
  </si>
  <si>
    <t>Macedonia del Norte</t>
  </si>
  <si>
    <t>Norvège</t>
  </si>
  <si>
    <t>Noruega</t>
  </si>
  <si>
    <t>Omán</t>
  </si>
  <si>
    <t>Pakistán</t>
  </si>
  <si>
    <t>Palaos</t>
  </si>
  <si>
    <t>Palestina (Estado)</t>
  </si>
  <si>
    <t>Panamá</t>
  </si>
  <si>
    <t>Papouasie-Nouvelle-Guinée</t>
  </si>
  <si>
    <t>Papua Nueva Guinea</t>
  </si>
  <si>
    <t>Pérou</t>
  </si>
  <si>
    <t>Perú</t>
  </si>
  <si>
    <t>Filipinas</t>
  </si>
  <si>
    <t>Pologne</t>
  </si>
  <si>
    <t>Polonia</t>
  </si>
  <si>
    <t>Roumanie</t>
  </si>
  <si>
    <t>Rumania</t>
  </si>
  <si>
    <t>Russie</t>
  </si>
  <si>
    <t>Rusia (Federación)</t>
  </si>
  <si>
    <t>Saint-Christophe-et-Niévès</t>
  </si>
  <si>
    <t>Saint Kitts y Nevis</t>
  </si>
  <si>
    <t>Sainte-Lucie</t>
  </si>
  <si>
    <t>Santa Lucía</t>
  </si>
  <si>
    <t>Saint-Vincent-et-les Grenadines</t>
  </si>
  <si>
    <t>San Vicente y las Granadinas</t>
  </si>
  <si>
    <t>Saint-Marin</t>
  </si>
  <si>
    <t>Sao Tomé-et-Principe</t>
  </si>
  <si>
    <t>Santo Tomé y Príncipe</t>
  </si>
  <si>
    <t>Arabie saoudite</t>
  </si>
  <si>
    <t>Arabia Saudita</t>
  </si>
  <si>
    <t>Sénégal</t>
  </si>
  <si>
    <t>Serbie</t>
  </si>
  <si>
    <t>Sierra leona</t>
  </si>
  <si>
    <t>Singapour</t>
  </si>
  <si>
    <t>Singapur</t>
  </si>
  <si>
    <t>Sint Maarten</t>
  </si>
  <si>
    <t>Sint Maarten (parte neerlandesa)</t>
  </si>
  <si>
    <t>Slovaquie</t>
  </si>
  <si>
    <t>Eslovaquia</t>
  </si>
  <si>
    <t>Slovénie</t>
  </si>
  <si>
    <t>Eslovenia</t>
  </si>
  <si>
    <t>Salomon</t>
  </si>
  <si>
    <t>Islas Salomón</t>
  </si>
  <si>
    <t>Somalie</t>
  </si>
  <si>
    <t>Afrique du Sud</t>
  </si>
  <si>
    <t>Sudáfrica</t>
  </si>
  <si>
    <t>Soudan du Sud</t>
  </si>
  <si>
    <t>Sudán del Sur</t>
  </si>
  <si>
    <t>Espagne</t>
  </si>
  <si>
    <t>España</t>
  </si>
  <si>
    <t>Soudan</t>
  </si>
  <si>
    <t>Sudán</t>
  </si>
  <si>
    <t>Suède</t>
  </si>
  <si>
    <t>Suecia</t>
  </si>
  <si>
    <t>Suisse</t>
  </si>
  <si>
    <t>Suiza</t>
  </si>
  <si>
    <t>Syrie</t>
  </si>
  <si>
    <t>Siria (República Árabe)</t>
  </si>
  <si>
    <t>Taïwan</t>
  </si>
  <si>
    <t>Taiwán</t>
  </si>
  <si>
    <t>Tadjikistan</t>
  </si>
  <si>
    <t>Tayikistán</t>
  </si>
  <si>
    <t>Tanzanie (République Unie)</t>
  </si>
  <si>
    <t>Tanzania (República Unida)</t>
  </si>
  <si>
    <t>Thaïlande</t>
  </si>
  <si>
    <t>Tailandia</t>
  </si>
  <si>
    <t>Timor oriental</t>
  </si>
  <si>
    <t>Trinité-et-Tobago</t>
  </si>
  <si>
    <t>Trinidad y Tabago</t>
  </si>
  <si>
    <t>Tunisie</t>
  </si>
  <si>
    <t>Túnez</t>
  </si>
  <si>
    <t>Turquie</t>
  </si>
  <si>
    <t>Turquía</t>
  </si>
  <si>
    <t>Turkménistan</t>
  </si>
  <si>
    <t>Turkmenistán</t>
  </si>
  <si>
    <t>Ouganda</t>
  </si>
  <si>
    <t>Ucrania</t>
  </si>
  <si>
    <t>Émirats arabes unis</t>
  </si>
  <si>
    <t>Emiratos Árabes Unidos</t>
  </si>
  <si>
    <t>Royaume-Uni</t>
  </si>
  <si>
    <t>Reino Unido de Gran Bretaña e Irlanda del Norte</t>
  </si>
  <si>
    <t>États-Unis</t>
  </si>
  <si>
    <t>Estados Unidos de América</t>
  </si>
  <si>
    <t>Ouzbékistan</t>
  </si>
  <si>
    <t>Uzbekistán</t>
  </si>
  <si>
    <t>Viêt Nam</t>
  </si>
  <si>
    <t>Sahara occidental</t>
  </si>
  <si>
    <t>Sahara Occidental</t>
  </si>
  <si>
    <t>Yémen</t>
  </si>
  <si>
    <t>Zambie</t>
  </si>
  <si>
    <t xml:space="preserve">Coverage indicator:
Percentage of people living with HIV newly initiated on ART who were screened for TB 
</t>
  </si>
  <si>
    <t xml:space="preserve">Indicateur de couverture :
Pourcentage de personnes vivant avec le VIH ayant nouvellement initié la TARV et chez qui les signes de la tuberculose ont été recherchés </t>
  </si>
  <si>
    <t>Estimated population in need/at risk:
Refers to all people living with HIV newly initiated on ART</t>
  </si>
  <si>
    <t xml:space="preserve">Estimation des populations dans le besoin/à risque :
Se rapporte à toutes les personnes vivant avec le VIH ayant nouvellement initié la TARV  </t>
  </si>
  <si>
    <t>Country target:
1) refers to NSP or any other latest agreed country target
2) # refers to the number of people living with HIV newly initiated on ART who were screened for TB
3) % refers to the percentage of people living with HIV newly initiated on ART who had TB status assessed and recorded among all people living with HIV newly initiated on ART</t>
  </si>
  <si>
    <t xml:space="preserve">Cible du pays :
1) Se rapporte au plan stratégique national ou à toute autre cible du pays approuvée plus récemment
2) « # » correspond à toutes les personnes vivant avec le VIH ayant nouvellement initié la TARV et chez qui les signes de la tuberculose ont été recherchés 
3) « % » correspond au pourcentage de personnes vivant avec le VIH ayant nouvellement initié la TARV  dont le statut TB a été évalué et enregistré, parmi toutes les personnes vivant avec le VIH ayant nouvellement initié la TARV  
</t>
  </si>
  <si>
    <t xml:space="preserve">Indicador de cobertura:
Porcentaje de personas que viven con el VIH que han iniciado TARV, que se han sometido a un tamizaje de TB </t>
  </si>
  <si>
    <t xml:space="preserve">Población estimada con necesidades/en riesgo:
Se refiere a todas las personas que viven con VIH que iniciaron TARV. </t>
  </si>
  <si>
    <t>Meta del país:
1) Se refiere al Plan Estratégico Nacional (PEN) o las últimas metas acordadas con el país.
2) "#" se refiere al número de personas que viven con VIH que han iniciado TARV que fueron tamizadas para TB. 
3) "%" se refiere al porcentaje de personas que viven con el VIH que han iniciado TARV a quienes se les ha evaluado y registrado su estatus de TB entre todas las personas que viven con VIH que iniciaron TARV.</t>
  </si>
  <si>
    <t>TB/VIH - revisión de tuberculosis en pacientes con VIH</t>
  </si>
  <si>
    <t xml:space="preserve">Percentage of people living with HIV newly initiated on ART who were screened for TB </t>
  </si>
  <si>
    <t xml:space="preserve">Pourcentage de personnes vivant avec le VIH ayant nouvellement initié la TARV et chez qui les signes de la tuberculose ont été recherchés </t>
  </si>
  <si>
    <t xml:space="preserve">Porcentaje de personas que viven con el VIH que han iniciado TARV, que se han sometido a un tamizaje de TB </t>
  </si>
  <si>
    <t>Enfants vivants avec le VIH (moins de 15 ans)</t>
  </si>
  <si>
    <t xml:space="preserve"> Last updated: 9 March 2020</t>
  </si>
  <si>
    <t>Última versión actualizada marzo 2020</t>
  </si>
  <si>
    <t>Dernière version mise à jour mars 2020</t>
  </si>
  <si>
    <t>Latest version updated March 2020</t>
  </si>
  <si>
    <t>non-specified population groups</t>
  </si>
  <si>
    <t>groupes de population non spécifiés</t>
  </si>
  <si>
    <t>partenaires de personnes vivants avec le VIH</t>
  </si>
  <si>
    <t>grupos de población no específicos</t>
  </si>
  <si>
    <t xml:space="preserve">Pourcentage de personnes appartenant aux populations clés, qui ont effectué un test de dépistage du VIH pendant la période de communication de l'information et qui en connaissent le résultat </t>
  </si>
  <si>
    <t>hommes ayant des rapports sexuels avec des hommes (HSH)</t>
  </si>
  <si>
    <t>Données de routine Alliance, OCAL et Projet Protect</t>
  </si>
  <si>
    <t>Besoins non couverts à introduire en partie dans le PAAR</t>
  </si>
  <si>
    <t>Rapport 2019 du PNLS</t>
  </si>
  <si>
    <t>L'Etat contribue à l'achat des intrants de dépistage, qui est une des composantes du paquet de services de prévention combinée. 
Un plaidoyer sera fait auprès du Fonds National de Lutte contre le Sida (FNLS) pour couvrir une partie des besoins additionnels (5% en 2021, 7,5% en 2022 et 10% en 2023)</t>
  </si>
  <si>
    <t xml:space="preserve">Rapport PNLS 2019 </t>
  </si>
  <si>
    <t>Population estimée des HSH (Note Technique sur la triangulation des données en matière de populations clés en Côte d’Ivoire, 30 avril 2020)</t>
  </si>
  <si>
    <t>Le nombre des Usagers de Drogues (UD) était estimé à 9 524 en 2019 et celui des Usagers de Drogues Injectables (UDI) était estimée à 397 individus dans les villes d'Abidjan, Bassam, Bouaké et Yamoussoukro en 2019 (cf. Note Technique sur la triangulation des données en matière de populations clés en Côte d’Ivoire, 30 avril 2020). 
L'hypothèse retenue est une stabilité de cette population entre 2020 et 2023, pondérée de l'accroissement démographique annuel (2,6%).
En mai 2020, la proportion des UDI qui relève d'un TSO était de 50% (n=35) au CASA (principal structure de prise en charge des UD/UDI soutenue par MDM). Parmi la file active du CASA (n=1659), 80% des UD non injecteurs (snifeurs ou fumeurs d'opiacés) sont en demande de sevrage / TSO.
On retient que 50% des UDI et 50% des UD (sniffeurs / fumeurs d'opiacés) sont candidats au TSO</t>
  </si>
  <si>
    <t>Les cibles du PSN sont de 130 en 2021 (démarrage de l'intervention). 
1) Les interventions de prévention ciblant les UD sont définies dans un paquet de service précisé dans un référentiel national.
2) Elles couvriront 22 districts sanitaires (reconduction systématique des 16 DS d'interventions en cours, y compris les districts dans lesquels des études ont eu lieu dans les 5 dernières années + ajout de 6 nouveaux DS aux 16 en cours).
3) Les financements des interventions ciblant les HSH proviennent essentiellement du Fonds mondial.
Pour les années suivantes, un accroissement de 20 patients par mois est prévu, sur la base de l'expérience des acteurs de mise en œuvre et du projet régional</t>
  </si>
  <si>
    <t xml:space="preserve">La contribution de l'Etat sera sollicitée à hauteur de 30% à travers un plaidoyer actif sur la lutte contre les addictions auprès du Programme National de Lutte contre le Tabac et les Addictions (PNLTA) </t>
  </si>
  <si>
    <t>PEPFAR ne contribue pas à la prise en charge de l'addiction des UDI. Médecins du Monde contribue sur prise en charge et soutien des UDI, mais pas sur l'achat de TSO.</t>
  </si>
  <si>
    <t>Le financement du Fonds Mondial couvrira les besoins complémentaires</t>
  </si>
  <si>
    <t>PTME</t>
  </si>
  <si>
    <t>Rapport PNLS 2019</t>
  </si>
  <si>
    <t>Selon le PSN 2021-2025, la couverture des besoins en ARV des FEVVIH doit passer de 85% en 2021, à 87% en 2022 et 90% en 2023 (Tableau des Cibles et Cadre de Performance du PSN)
1) Les interventions de PTME ciblant les FEVVIH sont définies dans un paquet de service spécifique pour la PTME figurant dans un référentiel national.
2) Elles couvriront 47 DS (qui concentrent 80% des femmes enceintes attendues, 80% nouvelles infections chez les enfants et 81% du gap national de couverture ARV chez les FE).
3) Les financements des interventions de réduction de la TME proviennent du Fonds mondial, de PEPFAR et de l'Etat.</t>
  </si>
  <si>
    <t>Estimations Spectrum 2020 du nombre de femmes enceintes vivant avec le VIH (FEVVIH) en besoin de traitement ARV</t>
  </si>
  <si>
    <t>Selon le plan d'approvisonnement, la contribution attendue de l'Etat sur les ARV sera de 40% en 2021, avec une augmentation annuelle de 10%, soit 44% en 2022 et 48,4% en 2023</t>
  </si>
  <si>
    <t>La contribution de PEPFAR pour les ARV sur le COP20 sera de 40% des besoins globaux. L'hypothèse pour les années suivantes est celle d'une décroissance progressive (30% en 2022 et 20% en 2023)</t>
  </si>
  <si>
    <t>La contribution attendue du Fonds Mondial est d'environ 20% du gap de la cible nationale et se réduit au cours du temps</t>
  </si>
  <si>
    <t>professionnel(le)s du sexe et leurs clients</t>
  </si>
  <si>
    <t>Population estimée des TS (Note Technique sur la triangulation des données en matière de populations clés en Côte d’Ivoire, 30 avril 2020)</t>
  </si>
  <si>
    <t>Cibles du PSN pour la connaissance de statut sont de 83% en 2021, 86% en 2022 et 89% en 2023. 
1) Elles couvriront 67 districts sanitaires priorisés sur la base de : la taille de la population des PS par district ; DS où des études ont eu lieu - IBBSS, PLACE, SHARM, etc. - ; villes principales et secondaires situées sur les axes de voyage (Abidjan - pays du Nord ; Abidjan-Lagos ; Abidjan Ouest et Sud-Ouest) ; villes qui abritent des activités économiques attractives ; villes frontalières qui favorisent les échanges commerciaux intenses.
2) Les financements des interventions ciblant les TS proviennent du Fonds mondial et du PEPFAR.
3) Les interventions de prévention combinée ciblant les TS sont définies dans un paquet de service précisé dans un référentiel national.</t>
  </si>
  <si>
    <t>Cibles du PSN 2021-2025, p42</t>
  </si>
  <si>
    <t>Selon le plan d'approvisonnement, la contribution attendue de l'Etat sur les ARV sera de 40% en 2021, avec une augmentation annuelle de 10%, soit 44% en 2022 et 48,4% en 2023. L'hypothèse retenue est que l'augmentation de 10% du budget des intrants pris en charge par l'Etat permettra une augmentation proportionnelle de la file active des PVVIH traités.</t>
  </si>
  <si>
    <t>Population cible : PVVIH nouvellement inclus dans le TARV et PVVIH avec immunodépression sévère</t>
  </si>
  <si>
    <t xml:space="preserve">Rapport d'évaluation des 07 sites pilotes pour l'iniation de la thérapie préventive à l'isoniazide. </t>
  </si>
  <si>
    <t>90% de la file active projetée des PVVIH traités par ARV du PSN 2021-2025, de laquelle on déduit les patients ayant déjà été traités par TPI durant les années antérieures (phase pilote et projection du COP 20)</t>
  </si>
  <si>
    <t>Base de 3 661 028 personnes ciblées en 2019, incluant les populations clés et vulnérables. Cf. Outil de quantification de l'ONUSIDA, cf. annexe.</t>
  </si>
  <si>
    <t>L'Etat ne contribue pas à l'achat des préservatifs. Le secteur privé n'est pas pris en compte dans cette prévision. L'etude en cours sur l'approche de marché total (TMA) permettra de cerner tous les segments du marché et d'ajuster la quantification dès 2022, selon une approche de marché total.</t>
  </si>
  <si>
    <t>L'hypothèse retenue est que la contribution du PEPFAR, soit 500 000 unités, restera au même niveau pour les années 2022 et 2023
Alliance : 32 526 préservatifs féminins pour les 6 premiers mois de 2021
La contribution de UNFPA est 93 000 pour 2021 et 45 000 pour les années 2022 et 2023</t>
  </si>
  <si>
    <t>Population estimée des Professionnelles du sexe (Note Technique sur la triangulation des données en matière de populations clés en Côte d’Ivoire, 30 avril 2020)</t>
  </si>
  <si>
    <t>Données de routine d'Alliance C et du projet Protect CI</t>
  </si>
  <si>
    <t xml:space="preserve">Usagers de Drogues (UD) </t>
  </si>
  <si>
    <t>PEPFAR ne finance pas les activités en direction des UD</t>
  </si>
  <si>
    <t>Cible de dépistage selon le PSN 2021-2025</t>
  </si>
  <si>
    <t xml:space="preserve">Pas de données disponibles </t>
  </si>
  <si>
    <t>L'Etat contribue par l'achat des intrants de dépistage. Un plaidoyer sera fait auprès du Fonds National de Lutte contre le Sida (FNLS) pour couvrir une partie des besoins additionnels (5% en 2021, 7,5% en 2022 et 10% en 2023).</t>
  </si>
  <si>
    <t>Le FM contribuera pour plus de 2/3 des besoins.</t>
  </si>
  <si>
    <t>Population estimée des Usagers de Drogues (Note Technique sur la triangulation des données en matière de populations clés en Côte d’Ivoire, 30 avril 2020)</t>
  </si>
  <si>
    <t>personnes transgenres (TG)</t>
  </si>
  <si>
    <t>Les personnes TG étaient jusqu'en 2020 considérées comme partie prenante des HSH</t>
  </si>
  <si>
    <t>La contribution du Fonds Mondial concerne de 2/3 à 3/4 des cibles entre 2021 et 2023</t>
  </si>
  <si>
    <t>PEPFAR ne finance pas d'activités en milieu carcéral</t>
  </si>
  <si>
    <t>Population estimée de l'ensemble des détenus (Note Technique sur la triangulation des données en matière de populations clés en Côte d’Ivoire, 30 avril 2020)</t>
  </si>
  <si>
    <t>PEPFAR ne cible pas d'activités spécifique sur les TG</t>
  </si>
  <si>
    <t>Femmes enceintes vivant avec le VIH</t>
  </si>
  <si>
    <t xml:space="preserve">Pourcentage de femmes enceintes qui connaissent leur statut sérologique pour le VIH </t>
  </si>
  <si>
    <t>Femmes enceintes</t>
  </si>
  <si>
    <t>Tableau des cibles et Cadre de performances du PSN 2021-2025</t>
  </si>
  <si>
    <t>Cibles du PSN 2021-2025 pour 2021-2023</t>
  </si>
  <si>
    <t>L'Etat contribue par l'achat d'intrants de dépistage (5% en 2021, 10% en 2022 et 15% en 2023).</t>
  </si>
  <si>
    <t>Le PEPFAR apporte 549 113 dépistages pour les femmes enceintes sur le COP 20 ; on prévoit une stabilité de l'engagement du PEPFAR pour les années 2022 er 2023</t>
  </si>
  <si>
    <t>La contribution du Fonds mondial compte pour environ 1/3 des besoins en 2023</t>
  </si>
  <si>
    <t>Estimation des nouvelles inclusions TPI selon la feuille de route révisée, version mai 2020</t>
  </si>
  <si>
    <t>Le PEPFAR apporte 980 993 dépistages pour les autres cibles sur le COP 20 ; selon les cibles du COP 20, cela inclue 8 863 HSH et 25 302 TS. Pour 2022 et 2023, l'hypothèse est une réduction de l'effort de PEPFAR sur les autres populations vulnérables de 30% par an.</t>
  </si>
  <si>
    <t>La PrEP a démarré chez les HSH en 2020</t>
  </si>
  <si>
    <t>Pas de contribution domestique sur la PrEP</t>
  </si>
  <si>
    <t>Cibles du PSN 2021-2025 (cf. Tableau des cibles), objectif de 20% de HSH sous PrEP en 2025</t>
  </si>
  <si>
    <t>La contribution de PEPFAR pour les ARV sur le COP20 sera de 40% des besoins globaux (pour la 1ère ligne, soit 96% de la file active). L'hypothèse pour les années suivantes est celle d'une décroissance progressive (30% en 2022 et 20% en 2023)</t>
  </si>
  <si>
    <t>La contribution attendue du FM couvrira 16% du en 2021, 21% en 2022 et 26% en 2023.</t>
  </si>
  <si>
    <t>La contribution attendue de l'Etat sur le TPI est de 5% en 2021, 7,5% en 2022 et 10% en 2023.</t>
  </si>
  <si>
    <t>La contribution attendue du Fonds mondial porte sur 9% en 2021, 27% en 2022 et 34% en 2023 de la cible nationale</t>
  </si>
  <si>
    <t>Populations vulnérables et autres populations ciblées par le dépistage (y compris le CDIP en milieu de soins)</t>
  </si>
  <si>
    <t>Les cibles de la prévention combinée pour les TS sont de 81% (2021), 83% (2022) et 86% pour 2023 (objectif de 90% en 2025 dans le PSN)
1) Elles couvriront 67 districts sanitaires (DS des études IBBSS, PLACE, SHARM; villes principales et secondaires sur les axes Abidjan - pays du Nord, Abidjan-Lagos et Abidjan - Ouest et Sud-Ouest ; villes qui abritent des activités économiques attractives ; villes frontalières qui favorisent les échanges commerciaux intenses).
2) Les financements des interventions ciblant les TS proviennent du Fonds mondial et du PEPFAR.
3) Les interventions de prévention combinée ciblant les TS sont définies dans un paquet de service précisé dans un référentiel national.</t>
  </si>
  <si>
    <t>Selon les cibles estimées du COP 20, ce sont 25 302 TS qui vont bénéficier de la prévention combinée. Pour 2022 et 2023, l'hypothèse est un maintien de l'effort de PEPFAR au même niveau.</t>
  </si>
  <si>
    <t>L'Etat contribue à l'achat des intrants de dépistage, qui est une des composantes du paquet de services de prévention combinée. 
Un plaidoyer sera fait auprès du Fonds National de Lutte contre le Sida (FNLS) pour couvrir une partie des besoins additionnels (5% en 2021, 7,5% en 2022 et 10% en 2023).</t>
  </si>
  <si>
    <t>Population estimée des HSH (Note Technique sur la triangulation des données en matière de populations clés en Côte d’Ivoire, 26 mai 2020)</t>
  </si>
  <si>
    <t>Population estimée des personnes transgenres (Note Technique sur la triangulation des données en matière de populations clés en Côte d’Ivoire, 26 mai 2020)</t>
  </si>
  <si>
    <t>% des personnes issues des populations vulnérables bénéficiant d'un dépistage</t>
  </si>
  <si>
    <t>La contribution du FM évoluerait de 15 à 22% des besoins entre 2021 et 2023</t>
  </si>
  <si>
    <t xml:space="preserve">Pourcentage de populations vulnérables qui bénéficient d'un test sérologique pour le VIH </t>
  </si>
  <si>
    <t>Les cibles de la prévention combinée pour les HSH sont de 55% (2021), 60% (2022) et 70% pour 2023 (objectif de 95% en 2025 dans le PSN)
1) Elles couvriront 59 districts sanitaires (toutes les villes où des études et/ou des estimations de taille ont été conduites ; les districts ayant des interventions en cours ; les districts ayant rapporté des données de prévention et/ou de dépistage en 2019 pour éviter de mettre des ressources là il y a peu ou pas de HSH).
2) Les financements des interventions ciblant les HSH proviennent du Fonds mondial et du PEPFAR.
3) Les interventions de prévention combinée ciblant les HSH sont définies dans un paquet de service précisé dans un référentiel national.</t>
  </si>
  <si>
    <t>Outil de quantification de l'ONUSIDA, cibles nationales</t>
  </si>
  <si>
    <t>Outil de quantification de l'ONUSIDA, cf. annexe (part de préservatifs gratuits = 48,6% des besoins du marché total)</t>
  </si>
  <si>
    <t>1,5% de préservatifs féminins en 2021, 2% en 2022 et 2,5% en 2023</t>
  </si>
  <si>
    <t xml:space="preserve">La contribution de PEPFAR est de 20 500 000 pour le COP 20 qui a été reportée sur les années 2022 et 2023              
La contribution d'Alliance (venant du NFM2) est de 1 945 296, qui couvrira 6 mois de l'année 2021 (1 912 770 préservatifs masculin et 32 526 Préservatifs féminin).
La contribution attendue de UNFPA est de 3 563 400 en 2021 et 1 795 000 pour 2022 et 2023         </t>
  </si>
  <si>
    <t>Outil de quantification de l'ONUSIDA, cibles nationales (1,2% de préservatifs féminins en 2021, 1,3% en 2022 et 1,4% en 2023)</t>
  </si>
  <si>
    <t xml:space="preserve">Selon les cibles estimées du COP 20, ce sont 8 863 HSH qui vont bénéficier de la prévention combinée. Pour 2022 et 2023, l'hypothèse est un maintien de l'effort de PEPFAR au même niveau. Cependant, dans l'accord conclu entre Alliance Côte d'Ivoire et PEPFAR (cf annexe), PEPFAR s'est engagé à couvrir la totalité des besoins dans les DS de couverture de ses activités. Le nombre des cibles de PEPFAR sera donc augmenté. </t>
  </si>
  <si>
    <t>La contribution attendue du Fonds Mondial permettra de couvrir jusqu'à 25% du gap global sur l'ensemble de la durée du NFM3. Le gap de HSH qui sera pris en compte dans les interventions de Alliance Côte d'Ivoire est centré sur 24 DS (cf. accord PEPFAR/Alliance Côte d'Ivoire).</t>
  </si>
  <si>
    <t xml:space="preserve">Selon les cibles du COP 20, ce sont 25 302 TS qui vont bénéficier d'un dépistage. Pour 2022 et 2023, l'hypothèse est un maintien de l'effort de PEPFAR au même niveau. Cependant, dans l'accord conclu entre Alliance Côte d'Ivoire et PEPFAR (cf annexe), PEPFAR s'est engagé à couvrir la totalité des besoins dans les DS de couverture de ses activités. Le nombre des cibles TS de PEPFAR sera donc augmenté. </t>
  </si>
  <si>
    <t xml:space="preserve">Selon les cibles estimées du COP 20, ce sont 8 863 HSH qui vont bénéficier du dépistage. Pour 2022 et 2023, l'hypothèse est un maintien de l'effort de PEPFAR au même niveau. Cependant, dans l'accord conclu entre Alliance Côte d'Ivoire et PEPFAR (cf annexe), PEPFAR s'est engagé à couvrir la totalité des besoins dans les DS de couverture de ses activités. Le nombre des cibles HSH de PEPFAR sera donc augmenté. </t>
  </si>
  <si>
    <t>La contribution attendue du Fonds Mondial permettra de couvrir jusqu'à 28% du gap global sur l'ensemble de la durée du NFM3. Le gap des TS qui sera pris en compte dans les interventions de Alliance Côte d'Ivoire est centré sur 33 DS (cf. accord PEPFAR/Alliance Côte d'Ivoire). Taux d'acceptation du dépistage chez les TS = 95%</t>
  </si>
  <si>
    <t>La contribution attendue du Fonds Mondial permettra de couvrir jusqu'à 30% du gap global sur l'ensemble de la durée du NFM3. Le gap des TS qui sera pris en compte dans les interventions de Alliance Côte d'Ivoire est centré sur 33 DS (cf. accord PEPFAR/Alliance Côte d'Ivoire).</t>
  </si>
  <si>
    <t>La contribution attendue du Fonds Mondial permettra de couvrir jusqu'à 25% du gap global sur l'ensemble de la durée du NFM3. Le gap de HSH qui sera pris en compte dans les interventions de Alliance Côte d'Ivoire est centré sur 24 DS (cf. accord PEPFAR/Alliance Côte d'Ivoire). Taux d'ecceptation du dépistage chez les HSH = 80%</t>
  </si>
  <si>
    <t>Contribution du PEPFAR prévue dans le CPO-20 à hauteur de 47 000 patients, mais il n'est pas prévu de contribution pour les années suivantes</t>
  </si>
  <si>
    <t>La contribution du Fonds Mondial concerne environ 2/3 des cibles pour la période de la subvention. Alliance Côte d'Ivoire couvrira cette population dans les 12 DS d'Abidjan.</t>
  </si>
  <si>
    <t>La contribution de PEPFAR doit permettre de prendre en charge 355 HSH dans le COP-20. UNICEF contribue pour 500 HSH en 2021.</t>
  </si>
  <si>
    <t>La contribution de PEPFAR doit permettre de prendre en charge 1104 TS dans le COP-20. UNICEF contribue pour 500 TS en 2021.</t>
  </si>
  <si>
    <t>La contribution du FM doit permettre de prendre en charge 6% des HSH en 2021, 10% en 2022 et 15% en 2023. Alliance démarre par 3 DS en 2021 et étend à 12 DS en 2022, puis les 24 DS en 2023.</t>
  </si>
  <si>
    <t>Alliance démarre par 3 DS en 2021 et étend à 16 DS en 2022, puis les 33 DS en 2023.</t>
  </si>
  <si>
    <t>Objectif de 10% des TS couvertes en PrEP d'ici fin 2025 (3,5% en 2021, 5% en 2022 et 6,5% en 2023)</t>
  </si>
  <si>
    <t>La contribution attendue du FM pour 2021, 2022 et 2023 concerne la distribution gratuite des préservatifs aux KPs et populations vulnérables et s'élève à 50% du gap non financé, ou 30% du gap global de la couverture nationale ; la part restante est incluse dans le PAAR</t>
  </si>
  <si>
    <t>Ce tableau concerne la part des préservatifs gratuits dans les besoins nationaux ; il exclue les préservatifs liés au Marketing Social et ceux qui sont vendus dans le secteur privé des officines pharmaceutiques</t>
  </si>
  <si>
    <t xml:space="preserve">La contribution de PEPFAR est de 20 000 000 pour 2021, laquelle a été maintenue au même niveau pour l'année 2022 à 2023             
La contribution prévue de KFW de 30 000 000 pour 2021 n'est pas prise en compte car elle concerne les préservatifs qui sont commercialisés par le Marketing Social
Alliance: 1 912 770 préservatifs masculins pour les 6 premiers mois de 2021
La contribution attendue de UNFPA est de 3 470 400 en 2021 et 1 750 000 pour 2022 et 2023 </t>
  </si>
  <si>
    <t>Cette feuille n'est pas remplie car la circoncision masculine n'est pas une priorité du PSN</t>
  </si>
  <si>
    <t>Les besoins couverts par les autres sources de financement (PEPFAR et UNFPA) permettent de ne pas inclure de besoins spécifiques en matière de préservatifs féminins à financer dans cette subvention. Une part des besoins non couverts a tout de même été prévue dans le PAAR.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</si>
</sst>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1"/>
      <color theme="1"/>
      <name val="Arial"/>
      <family val="2"/>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b/>
      <sz val="9"/>
      <name val="Arial"/>
      <family val="2"/>
    </font>
    <font>
      <sz val="9"/>
      <name val="Arial"/>
      <family val="2"/>
    </font>
    <font>
      <sz val="9"/>
      <color rgb="FFFF0000"/>
      <name val="Arial"/>
      <family val="2"/>
    </font>
    <font>
      <b/>
      <i/>
      <sz val="12"/>
      <color rgb="FFFF0000"/>
      <name val="Arial"/>
      <family val="2"/>
    </font>
    <font>
      <b/>
      <sz val="14"/>
      <color theme="1"/>
      <name val="Arial"/>
      <family val="2"/>
    </font>
    <font>
      <b/>
      <sz val="12"/>
      <color theme="1"/>
      <name val="Arial"/>
      <family val="2"/>
    </font>
    <font>
      <b/>
      <sz val="11"/>
      <color rgb="FF0000FF"/>
      <name val="Arial"/>
      <family val="2"/>
    </font>
    <font>
      <sz val="11"/>
      <color rgb="FF0000FF"/>
      <name val="Arial"/>
      <family val="2"/>
    </font>
    <font>
      <i/>
      <sz val="11"/>
      <name val="Arial"/>
      <family val="2"/>
    </font>
    <font>
      <i/>
      <sz val="11"/>
      <color theme="1"/>
      <name val="Arial"/>
      <family val="2"/>
    </font>
    <font>
      <sz val="11"/>
      <color rgb="FFFF0000"/>
      <name val="Arial"/>
      <family val="2"/>
    </font>
    <font>
      <sz val="10"/>
      <color rgb="FFFF0000"/>
      <name val="Arial"/>
      <family val="2"/>
    </font>
    <font>
      <b/>
      <sz val="14"/>
      <color rgb="FF000000"/>
      <name val="Arial"/>
      <family val="2"/>
    </font>
    <font>
      <b/>
      <sz val="12"/>
      <color rgb="FF000000"/>
      <name val="Arial"/>
      <family val="2"/>
    </font>
    <font>
      <b/>
      <sz val="11"/>
      <color rgb="FF000000"/>
      <name val="Arial"/>
      <family val="2"/>
    </font>
    <font>
      <i/>
      <sz val="11"/>
      <color theme="1"/>
      <name val="Calibri"/>
      <family val="2"/>
      <scheme val="minor"/>
    </font>
    <font>
      <b/>
      <sz val="12"/>
      <name val="Arial"/>
      <family val="2"/>
    </font>
    <font>
      <sz val="11"/>
      <color rgb="FFC00000"/>
      <name val="Calibri"/>
      <family val="2"/>
      <scheme val="minor"/>
    </font>
    <font>
      <sz val="11"/>
      <color rgb="FFFF0000"/>
      <name val="Calibri"/>
      <family val="2"/>
      <scheme val="minor"/>
    </font>
    <font>
      <b/>
      <sz val="11"/>
      <color theme="1"/>
      <name val="Calibri"/>
      <family val="2"/>
      <scheme val="minor"/>
    </font>
    <font>
      <b/>
      <sz val="11"/>
      <color theme="3"/>
      <name val="Arial"/>
      <family val="2"/>
    </font>
    <font>
      <sz val="11"/>
      <color rgb="FF7030A0"/>
      <name val="Arial"/>
      <family val="2"/>
    </font>
    <font>
      <b/>
      <sz val="11"/>
      <color rgb="FF7030A0"/>
      <name val="Arial"/>
      <family val="2"/>
    </font>
    <font>
      <sz val="12"/>
      <name val="Arial"/>
      <family val="2"/>
    </font>
    <font>
      <sz val="11"/>
      <color theme="9" tint="-0.249977111117893"/>
      <name val="Calibri"/>
      <family val="2"/>
      <scheme val="minor"/>
    </font>
    <font>
      <b/>
      <sz val="11"/>
      <name val="Calibri"/>
      <family val="2"/>
      <scheme val="minor"/>
    </font>
    <font>
      <sz val="11"/>
      <color rgb="FFFFC000"/>
      <name val="Arial"/>
      <family val="2"/>
    </font>
    <font>
      <u/>
      <sz val="11"/>
      <color theme="10"/>
      <name val="Arial"/>
      <family val="2"/>
    </font>
    <font>
      <sz val="11"/>
      <name val="Calibri"/>
      <family val="2"/>
      <scheme val="minor"/>
    </font>
    <font>
      <sz val="11"/>
      <color theme="1"/>
      <name val="Calibri"/>
      <family val="2"/>
    </font>
    <font>
      <b/>
      <sz val="11"/>
      <color theme="1"/>
      <name val="Calibri"/>
      <family val="2"/>
    </font>
    <font>
      <i/>
      <sz val="11"/>
      <color theme="1"/>
      <name val="Calibri"/>
      <family val="2"/>
    </font>
    <font>
      <sz val="11"/>
      <color rgb="FFF79646" tint="-0.249977111117893"/>
      <name val="Calibri"/>
      <family val="2"/>
    </font>
    <font>
      <sz val="11"/>
      <color rgb="FF000000"/>
      <name val="Calibri"/>
      <family val="2"/>
    </font>
    <font>
      <sz val="11"/>
      <color rgb="FFFF0000"/>
      <name val="Calibri"/>
      <family val="2"/>
    </font>
    <font>
      <b/>
      <sz val="11"/>
      <color theme="1"/>
      <name val="Calibri"/>
      <family val="2"/>
      <charset val="204"/>
      <scheme val="minor"/>
    </font>
    <font>
      <i/>
      <sz val="11"/>
      <color theme="1"/>
      <name val="Calibri"/>
      <family val="2"/>
      <charset val="204"/>
    </font>
    <font>
      <b/>
      <sz val="9"/>
      <color indexed="81"/>
      <name val="Tahoma"/>
      <family val="2"/>
    </font>
    <font>
      <sz val="9"/>
      <color indexed="81"/>
      <name val="Tahoma"/>
      <family val="2"/>
    </font>
    <font>
      <sz val="11"/>
      <name val="Calibri"/>
      <family val="2"/>
    </font>
    <font>
      <b/>
      <sz val="18"/>
      <color theme="1"/>
      <name val="Arial"/>
      <family val="2"/>
    </font>
    <font>
      <b/>
      <sz val="18"/>
      <color theme="0"/>
      <name val="Arial"/>
      <family val="2"/>
    </font>
    <font>
      <b/>
      <sz val="11"/>
      <color rgb="FFFF0000"/>
      <name val="Calibri"/>
      <family val="2"/>
      <scheme val="minor"/>
    </font>
  </fonts>
  <fills count="25">
    <fill>
      <patternFill patternType="none"/>
    </fill>
    <fill>
      <patternFill patternType="gray125"/>
    </fill>
    <fill>
      <patternFill patternType="solid">
        <fgColor theme="9" tint="0.599963377788628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1"/>
        <bgColor indexed="64"/>
      </patternFill>
    </fill>
    <fill>
      <patternFill patternType="solid">
        <fgColor theme="4" tint="0.59999389629810485"/>
        <bgColor indexed="64"/>
      </patternFill>
    </fill>
    <fill>
      <patternFill patternType="solid">
        <fgColor rgb="FFFCD5B4"/>
        <bgColor rgb="FF000000"/>
      </patternFill>
    </fill>
    <fill>
      <patternFill patternType="solid">
        <fgColor rgb="FFD9D9D9"/>
        <bgColor rgb="FF000000"/>
      </patternFill>
    </fill>
    <fill>
      <patternFill patternType="solid">
        <fgColor rgb="FFBFBFBF"/>
        <bgColor rgb="FF000000"/>
      </patternFill>
    </fill>
    <fill>
      <patternFill patternType="solid">
        <fgColor theme="0" tint="-0.14999847407452621"/>
        <bgColor rgb="FF000000"/>
      </patternFill>
    </fill>
    <fill>
      <patternFill patternType="solid">
        <fgColor theme="7" tint="0.79998168889431442"/>
        <bgColor indexed="64"/>
      </patternFill>
    </fill>
    <fill>
      <patternFill patternType="solid">
        <fgColor theme="0"/>
        <bgColor rgb="FF000000"/>
      </patternFill>
    </fill>
    <fill>
      <patternFill patternType="solid">
        <fgColor theme="7" tint="0.79998168889431442"/>
        <bgColor rgb="FF000000"/>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E4DFEC"/>
        <bgColor indexed="64"/>
      </patternFill>
    </fill>
    <fill>
      <patternFill patternType="solid">
        <fgColor rgb="FFE4DFEC"/>
        <bgColor rgb="FF000000"/>
      </patternFill>
    </fill>
    <fill>
      <patternFill patternType="solid">
        <fgColor rgb="FFD9E1F2"/>
        <bgColor indexed="64"/>
      </patternFill>
    </fill>
    <fill>
      <patternFill patternType="solid">
        <fgColor rgb="FF003F72"/>
        <bgColor indexed="64"/>
      </patternFill>
    </fill>
  </fills>
  <borders count="4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thin">
        <color auto="1"/>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medium">
        <color auto="1"/>
      </right>
      <top/>
      <bottom/>
      <diagonal/>
    </border>
    <border>
      <left/>
      <right/>
      <top style="medium">
        <color auto="1"/>
      </top>
      <bottom style="thin">
        <color auto="1"/>
      </bottom>
      <diagonal/>
    </border>
    <border>
      <left style="thin">
        <color auto="1"/>
      </left>
      <right/>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rgb="FF80A0B8"/>
      </left>
      <right style="medium">
        <color rgb="FF80A0B8"/>
      </right>
      <top style="medium">
        <color rgb="FF80A0B8"/>
      </top>
      <bottom style="medium">
        <color rgb="FF80A0B8"/>
      </bottom>
      <diagonal/>
    </border>
    <border>
      <left style="thin">
        <color auto="1"/>
      </left>
      <right/>
      <top style="medium">
        <color auto="1"/>
      </top>
      <bottom style="thin">
        <color auto="1"/>
      </bottom>
      <diagonal/>
    </border>
  </borders>
  <cellStyleXfs count="5">
    <xf numFmtId="0" fontId="0" fillId="0" borderId="0"/>
    <xf numFmtId="9" fontId="18" fillId="0" borderId="0" applyFont="0" applyFill="0" applyBorder="0" applyAlignment="0" applyProtection="0"/>
    <xf numFmtId="43" fontId="18" fillId="0" borderId="0" applyFont="0" applyFill="0" applyBorder="0" applyAlignment="0" applyProtection="0"/>
    <xf numFmtId="0" fontId="55" fillId="0" borderId="0" applyNumberFormat="0" applyFill="0" applyBorder="0" applyAlignment="0" applyProtection="0"/>
    <xf numFmtId="0" fontId="18" fillId="0" borderId="0"/>
  </cellStyleXfs>
  <cellXfs count="415">
    <xf numFmtId="0" fontId="0" fillId="0" borderId="0" xfId="0"/>
    <xf numFmtId="0" fontId="23" fillId="0" borderId="0" xfId="0" applyFont="1" applyBorder="1" applyAlignment="1">
      <alignment vertical="center" wrapText="1"/>
    </xf>
    <xf numFmtId="0" fontId="21" fillId="0" borderId="0" xfId="0" applyFont="1" applyBorder="1" applyAlignment="1">
      <alignment vertical="center" wrapText="1"/>
    </xf>
    <xf numFmtId="0" fontId="21"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0" fillId="3" borderId="13" xfId="0" applyFont="1" applyFill="1" applyBorder="1" applyAlignment="1" applyProtection="1">
      <alignment vertical="center" wrapText="1"/>
      <protection locked="0"/>
    </xf>
    <xf numFmtId="0" fontId="0" fillId="3" borderId="5" xfId="0" applyFont="1" applyFill="1" applyBorder="1" applyAlignment="1" applyProtection="1">
      <alignment horizontal="center" vertical="center" wrapText="1"/>
      <protection locked="0"/>
    </xf>
    <xf numFmtId="0" fontId="0" fillId="3" borderId="8" xfId="0" applyFont="1" applyFill="1" applyBorder="1" applyAlignment="1" applyProtection="1">
      <alignment horizontal="center" vertical="center" wrapText="1"/>
      <protection locked="0"/>
    </xf>
    <xf numFmtId="0" fontId="0" fillId="0" borderId="0" xfId="0" applyAlignment="1">
      <alignment vertical="top"/>
    </xf>
    <xf numFmtId="0" fontId="0" fillId="3" borderId="5" xfId="0" applyFill="1" applyBorder="1" applyAlignment="1" applyProtection="1">
      <alignment horizontal="left" vertical="top"/>
    </xf>
    <xf numFmtId="0" fontId="0" fillId="0" borderId="0" xfId="0" applyAlignment="1" applyProtection="1">
      <alignment horizontal="left" vertical="top"/>
    </xf>
    <xf numFmtId="0" fontId="0" fillId="0" borderId="0" xfId="0" applyAlignment="1" applyProtection="1">
      <alignment vertical="top"/>
    </xf>
    <xf numFmtId="0" fontId="0" fillId="0" borderId="0" xfId="0" applyAlignment="1" applyProtection="1">
      <alignment horizontal="center" vertical="top"/>
    </xf>
    <xf numFmtId="0" fontId="0" fillId="3" borderId="8" xfId="0" applyFill="1" applyBorder="1" applyAlignment="1" applyProtection="1">
      <alignment horizontal="left" vertical="top"/>
    </xf>
    <xf numFmtId="0" fontId="0" fillId="9" borderId="0" xfId="0" applyFill="1" applyBorder="1" applyAlignment="1" applyProtection="1">
      <alignment horizontal="left" vertical="top"/>
    </xf>
    <xf numFmtId="0" fontId="0" fillId="9" borderId="0" xfId="0" applyFill="1" applyAlignment="1">
      <alignment vertical="top"/>
    </xf>
    <xf numFmtId="0" fontId="0" fillId="5" borderId="0" xfId="0" applyFill="1" applyAlignment="1">
      <alignment vertical="top"/>
    </xf>
    <xf numFmtId="0" fontId="0" fillId="0" borderId="0" xfId="0" applyFill="1" applyAlignment="1">
      <alignment vertical="top"/>
    </xf>
    <xf numFmtId="0" fontId="0" fillId="0" borderId="0" xfId="0" applyFill="1" applyAlignment="1" applyProtection="1">
      <alignment horizontal="center" vertical="top"/>
    </xf>
    <xf numFmtId="0" fontId="0" fillId="0" borderId="0" xfId="0" applyFont="1" applyAlignment="1">
      <alignment wrapText="1"/>
    </xf>
    <xf numFmtId="0" fontId="19" fillId="0" borderId="0" xfId="0" applyFont="1" applyAlignment="1" applyProtection="1">
      <alignment wrapText="1"/>
      <protection locked="0"/>
    </xf>
    <xf numFmtId="0" fontId="36" fillId="3" borderId="5" xfId="0" applyFont="1" applyFill="1" applyBorder="1" applyAlignment="1" applyProtection="1">
      <alignment horizontal="left" vertical="center" wrapText="1"/>
      <protection locked="0"/>
    </xf>
    <xf numFmtId="0" fontId="20" fillId="3" borderId="22" xfId="0" applyFont="1" applyFill="1" applyBorder="1" applyAlignment="1" applyProtection="1">
      <alignment horizontal="center" vertical="center" wrapText="1"/>
      <protection locked="0"/>
    </xf>
    <xf numFmtId="9" fontId="0" fillId="6" borderId="5" xfId="1" applyFont="1" applyFill="1" applyBorder="1" applyAlignment="1" applyProtection="1">
      <alignment horizontal="right" vertical="center" wrapText="1"/>
    </xf>
    <xf numFmtId="0" fontId="22" fillId="0" borderId="0" xfId="0" applyFont="1" applyFill="1" applyBorder="1" applyAlignment="1" applyProtection="1">
      <alignment horizontal="center" vertical="center" wrapText="1"/>
    </xf>
    <xf numFmtId="0" fontId="23" fillId="0" borderId="0" xfId="0" applyFont="1" applyBorder="1" applyAlignment="1" applyProtection="1">
      <alignment vertical="center" wrapText="1"/>
    </xf>
    <xf numFmtId="0" fontId="21" fillId="0" borderId="0" xfId="0" applyFont="1" applyBorder="1" applyAlignment="1" applyProtection="1">
      <alignment vertical="center" wrapText="1"/>
    </xf>
    <xf numFmtId="0" fontId="0" fillId="0" borderId="0" xfId="0" applyFont="1" applyProtection="1"/>
    <xf numFmtId="0" fontId="20" fillId="4" borderId="13" xfId="0" applyFont="1" applyFill="1" applyBorder="1" applyAlignment="1" applyProtection="1">
      <alignment horizontal="left" vertical="center" wrapText="1"/>
      <protection locked="0"/>
    </xf>
    <xf numFmtId="0" fontId="20" fillId="4" borderId="7" xfId="0" applyFont="1" applyFill="1" applyBorder="1" applyAlignment="1" applyProtection="1">
      <alignment horizontal="left" vertical="center" wrapText="1"/>
      <protection locked="0"/>
    </xf>
    <xf numFmtId="0" fontId="20" fillId="4" borderId="14" xfId="0" applyFont="1" applyFill="1" applyBorder="1" applyAlignment="1" applyProtection="1">
      <alignment horizontal="left" vertical="center" wrapText="1"/>
      <protection locked="0"/>
    </xf>
    <xf numFmtId="0" fontId="37" fillId="3" borderId="11" xfId="0" applyFont="1" applyFill="1" applyBorder="1" applyAlignment="1" applyProtection="1">
      <alignment horizontal="left" vertical="center" wrapText="1"/>
      <protection locked="0"/>
    </xf>
    <xf numFmtId="0" fontId="20" fillId="3" borderId="15" xfId="0" applyFont="1" applyFill="1" applyBorder="1" applyAlignment="1" applyProtection="1">
      <alignment horizontal="left" vertical="center" wrapText="1"/>
      <protection locked="0"/>
    </xf>
    <xf numFmtId="0" fontId="20" fillId="4" borderId="13" xfId="0" applyFont="1" applyFill="1" applyBorder="1" applyAlignment="1" applyProtection="1">
      <alignment horizontal="left" vertical="center"/>
      <protection locked="0"/>
    </xf>
    <xf numFmtId="0" fontId="20" fillId="4" borderId="7" xfId="0" applyFont="1" applyFill="1" applyBorder="1" applyAlignment="1" applyProtection="1">
      <alignment horizontal="left" vertical="center"/>
      <protection locked="0"/>
    </xf>
    <xf numFmtId="0" fontId="20" fillId="4" borderId="14" xfId="0" applyFont="1" applyFill="1" applyBorder="1" applyAlignment="1" applyProtection="1">
      <alignment horizontal="left" vertical="center"/>
      <protection locked="0"/>
    </xf>
    <xf numFmtId="0" fontId="32" fillId="2" borderId="1" xfId="0" applyFont="1" applyFill="1" applyBorder="1" applyAlignment="1" applyProtection="1">
      <alignment horizontal="left" vertical="center"/>
      <protection locked="0"/>
    </xf>
    <xf numFmtId="0" fontId="32" fillId="2" borderId="2" xfId="0" applyFont="1" applyFill="1" applyBorder="1" applyAlignment="1" applyProtection="1">
      <alignment horizontal="left" vertical="center"/>
      <protection locked="0"/>
    </xf>
    <xf numFmtId="0" fontId="32" fillId="2" borderId="3" xfId="0" applyFont="1" applyFill="1" applyBorder="1" applyAlignment="1" applyProtection="1">
      <alignment horizontal="left" vertical="center"/>
      <protection locked="0"/>
    </xf>
    <xf numFmtId="0" fontId="24" fillId="4" borderId="13" xfId="0" applyFont="1" applyFill="1" applyBorder="1" applyAlignment="1" applyProtection="1">
      <alignment horizontal="left" vertical="center"/>
      <protection locked="0"/>
    </xf>
    <xf numFmtId="0" fontId="24" fillId="4" borderId="7" xfId="0" applyFont="1" applyFill="1" applyBorder="1" applyAlignment="1" applyProtection="1">
      <alignment horizontal="left" vertical="center"/>
      <protection locked="0"/>
    </xf>
    <xf numFmtId="0" fontId="24" fillId="4" borderId="14" xfId="0" applyFont="1" applyFill="1" applyBorder="1" applyAlignment="1" applyProtection="1">
      <alignment horizontal="left" vertical="center"/>
      <protection locked="0"/>
    </xf>
    <xf numFmtId="0" fontId="37" fillId="8" borderId="2" xfId="0" applyFont="1" applyFill="1" applyBorder="1" applyAlignment="1" applyProtection="1">
      <alignment vertical="center" wrapText="1"/>
      <protection locked="0"/>
    </xf>
    <xf numFmtId="0" fontId="37" fillId="8" borderId="1" xfId="0" applyFont="1" applyFill="1" applyBorder="1" applyAlignment="1" applyProtection="1">
      <alignment vertical="center" wrapText="1"/>
      <protection locked="0"/>
    </xf>
    <xf numFmtId="0" fontId="37" fillId="8" borderId="3" xfId="0" applyFont="1" applyFill="1" applyBorder="1" applyAlignment="1" applyProtection="1">
      <alignment vertical="center" wrapText="1"/>
      <protection locked="0"/>
    </xf>
    <xf numFmtId="0" fontId="36" fillId="3" borderId="15" xfId="0" applyFont="1" applyFill="1" applyBorder="1" applyAlignment="1" applyProtection="1">
      <alignment vertical="center" wrapText="1"/>
      <protection locked="0"/>
    </xf>
    <xf numFmtId="0" fontId="36" fillId="3" borderId="6" xfId="0" applyFont="1" applyFill="1" applyBorder="1" applyAlignment="1" applyProtection="1">
      <alignment horizontal="left" vertical="center" wrapText="1"/>
      <protection locked="0"/>
    </xf>
    <xf numFmtId="0" fontId="20" fillId="3" borderId="13" xfId="0" applyFont="1" applyFill="1" applyBorder="1" applyAlignment="1" applyProtection="1">
      <alignment horizontal="left" vertical="center"/>
      <protection locked="0"/>
    </xf>
    <xf numFmtId="0" fontId="17" fillId="0" borderId="0" xfId="0" applyFont="1"/>
    <xf numFmtId="0" fontId="45" fillId="0" borderId="0" xfId="0" applyFont="1"/>
    <xf numFmtId="0" fontId="43" fillId="0" borderId="0" xfId="0" applyFont="1"/>
    <xf numFmtId="0" fontId="47" fillId="0" borderId="0" xfId="0" applyFont="1"/>
    <xf numFmtId="4" fontId="0" fillId="0" borderId="0" xfId="0" applyNumberFormat="1" applyFont="1" applyProtection="1"/>
    <xf numFmtId="0" fontId="26" fillId="5" borderId="5" xfId="0" applyFont="1" applyFill="1" applyBorder="1" applyAlignment="1" applyProtection="1">
      <alignment vertical="center" wrapText="1"/>
      <protection locked="0"/>
    </xf>
    <xf numFmtId="0" fontId="19" fillId="5" borderId="0" xfId="0" applyFont="1" applyFill="1" applyBorder="1" applyAlignment="1" applyProtection="1">
      <alignment wrapText="1"/>
      <protection locked="0"/>
    </xf>
    <xf numFmtId="0" fontId="19" fillId="5" borderId="16" xfId="0" applyFont="1" applyFill="1" applyBorder="1" applyAlignment="1" applyProtection="1">
      <alignment wrapText="1"/>
      <protection locked="0"/>
    </xf>
    <xf numFmtId="0" fontId="37" fillId="5" borderId="5" xfId="0" applyFont="1" applyFill="1" applyBorder="1" applyAlignment="1" applyProtection="1">
      <alignment horizontal="center" vertical="center" wrapText="1"/>
      <protection locked="0"/>
    </xf>
    <xf numFmtId="0" fontId="0" fillId="5" borderId="5" xfId="0" applyFont="1" applyFill="1" applyBorder="1" applyAlignment="1" applyProtection="1">
      <alignment horizontal="right" vertical="center" wrapText="1"/>
      <protection locked="0"/>
    </xf>
    <xf numFmtId="0" fontId="0" fillId="5" borderId="5" xfId="0" applyNumberFormat="1" applyFont="1" applyFill="1" applyBorder="1" applyAlignment="1" applyProtection="1">
      <alignment horizontal="right" vertical="center" wrapText="1"/>
      <protection locked="0"/>
    </xf>
    <xf numFmtId="0" fontId="0" fillId="5" borderId="16" xfId="0" applyFont="1" applyFill="1" applyBorder="1" applyAlignment="1" applyProtection="1">
      <alignment horizontal="left" vertical="center" wrapText="1"/>
      <protection locked="0"/>
    </xf>
    <xf numFmtId="3" fontId="0" fillId="5" borderId="5" xfId="0" applyNumberFormat="1" applyFont="1" applyFill="1" applyBorder="1" applyAlignment="1" applyProtection="1">
      <alignment horizontal="right" vertical="center" wrapText="1"/>
      <protection locked="0"/>
    </xf>
    <xf numFmtId="0" fontId="0" fillId="5" borderId="36" xfId="0" applyFont="1" applyFill="1" applyBorder="1" applyAlignment="1" applyProtection="1">
      <alignment horizontal="left" vertical="center" wrapText="1"/>
      <protection locked="0"/>
    </xf>
    <xf numFmtId="9" fontId="0" fillId="14" borderId="5" xfId="1" applyFont="1" applyFill="1" applyBorder="1" applyAlignment="1" applyProtection="1">
      <alignment horizontal="right" vertical="center" wrapText="1"/>
    </xf>
    <xf numFmtId="0" fontId="0" fillId="14" borderId="5" xfId="1" applyNumberFormat="1" applyFont="1" applyFill="1" applyBorder="1" applyAlignment="1" applyProtection="1">
      <alignment horizontal="right" vertical="center" wrapText="1"/>
    </xf>
    <xf numFmtId="3" fontId="0" fillId="14" borderId="5" xfId="0" applyNumberFormat="1" applyFont="1" applyFill="1" applyBorder="1" applyAlignment="1" applyProtection="1">
      <alignment horizontal="right" vertical="center" wrapText="1"/>
    </xf>
    <xf numFmtId="0" fontId="35" fillId="5" borderId="16" xfId="0" applyFont="1" applyFill="1" applyBorder="1" applyAlignment="1" applyProtection="1">
      <alignment vertical="center" wrapText="1"/>
      <protection locked="0"/>
    </xf>
    <xf numFmtId="0" fontId="0" fillId="5" borderId="35" xfId="0" applyFont="1" applyFill="1" applyBorder="1" applyAlignment="1" applyProtection="1">
      <alignment horizontal="center" vertical="center" wrapText="1"/>
      <protection locked="0"/>
    </xf>
    <xf numFmtId="3" fontId="26" fillId="5" borderId="5" xfId="0" applyNumberFormat="1" applyFont="1" applyFill="1" applyBorder="1" applyAlignment="1" applyProtection="1">
      <alignment horizontal="right" vertical="center" wrapText="1"/>
      <protection locked="0"/>
    </xf>
    <xf numFmtId="9" fontId="26" fillId="16" borderId="5" xfId="1" applyFont="1" applyFill="1" applyBorder="1" applyAlignment="1" applyProtection="1">
      <alignment horizontal="right" vertical="center" wrapText="1"/>
    </xf>
    <xf numFmtId="0" fontId="26" fillId="16" borderId="5" xfId="1" applyNumberFormat="1" applyFont="1" applyFill="1" applyBorder="1" applyAlignment="1" applyProtection="1">
      <alignment horizontal="right" vertical="center" wrapText="1"/>
    </xf>
    <xf numFmtId="3" fontId="26" fillId="16" borderId="5" xfId="0" applyNumberFormat="1" applyFont="1" applyFill="1" applyBorder="1" applyAlignment="1" applyProtection="1">
      <alignment horizontal="right" vertical="center" wrapText="1"/>
    </xf>
    <xf numFmtId="3" fontId="26" fillId="16" borderId="4" xfId="0" applyNumberFormat="1" applyFont="1" applyFill="1" applyBorder="1" applyAlignment="1" applyProtection="1">
      <alignment horizontal="right" vertical="center" wrapText="1"/>
    </xf>
    <xf numFmtId="0" fontId="0" fillId="5" borderId="16" xfId="0" applyFont="1" applyFill="1" applyBorder="1" applyAlignment="1" applyProtection="1">
      <alignment vertical="center" wrapText="1"/>
      <protection locked="0"/>
    </xf>
    <xf numFmtId="0" fontId="0" fillId="5" borderId="36" xfId="0" applyFont="1" applyFill="1" applyBorder="1" applyAlignment="1" applyProtection="1">
      <alignment horizontal="center" vertical="center" wrapText="1"/>
      <protection locked="0"/>
    </xf>
    <xf numFmtId="0" fontId="47" fillId="0" borderId="0" xfId="0" applyFont="1" applyFill="1"/>
    <xf numFmtId="0" fontId="38" fillId="5" borderId="26" xfId="0" applyFont="1" applyFill="1" applyBorder="1" applyAlignment="1" applyProtection="1">
      <alignment horizontal="center" vertical="center" wrapText="1"/>
      <protection locked="0"/>
    </xf>
    <xf numFmtId="0" fontId="38" fillId="5" borderId="19" xfId="0" applyFont="1" applyFill="1" applyBorder="1" applyAlignment="1" applyProtection="1">
      <alignment horizontal="center" vertical="center" wrapText="1"/>
      <protection locked="0"/>
    </xf>
    <xf numFmtId="0" fontId="38" fillId="5" borderId="26" xfId="0" applyFont="1" applyFill="1" applyBorder="1" applyAlignment="1" applyProtection="1">
      <alignment horizontal="left" vertical="center" wrapText="1"/>
      <protection locked="0"/>
    </xf>
    <xf numFmtId="0" fontId="38" fillId="5" borderId="19" xfId="0" applyFont="1" applyFill="1" applyBorder="1" applyAlignment="1" applyProtection="1">
      <alignment horizontal="left" vertical="center" wrapText="1"/>
      <protection locked="0"/>
    </xf>
    <xf numFmtId="0" fontId="24" fillId="3" borderId="15" xfId="0" applyFont="1" applyFill="1" applyBorder="1" applyAlignment="1" applyProtection="1">
      <alignment horizontal="left" vertical="center" wrapText="1"/>
      <protection locked="0"/>
    </xf>
    <xf numFmtId="0" fontId="18" fillId="0" borderId="0" xfId="0" applyFont="1" applyAlignment="1" applyProtection="1">
      <alignment vertical="center"/>
    </xf>
    <xf numFmtId="0" fontId="53" fillId="0" borderId="0" xfId="0" applyFont="1" applyFill="1"/>
    <xf numFmtId="3" fontId="26" fillId="15" borderId="5" xfId="0" applyNumberFormat="1" applyFont="1" applyFill="1" applyBorder="1" applyAlignment="1" applyProtection="1">
      <alignment horizontal="right" vertical="center" wrapText="1"/>
      <protection locked="0"/>
    </xf>
    <xf numFmtId="3" fontId="26" fillId="0" borderId="5" xfId="0" applyNumberFormat="1" applyFont="1" applyFill="1" applyBorder="1" applyAlignment="1" applyProtection="1">
      <alignment horizontal="right" vertical="center" wrapText="1"/>
      <protection locked="0"/>
    </xf>
    <xf numFmtId="3" fontId="26" fillId="16" borderId="5" xfId="1" applyNumberFormat="1" applyFont="1" applyFill="1" applyBorder="1" applyAlignment="1" applyProtection="1">
      <alignment horizontal="right" vertical="center" wrapText="1"/>
    </xf>
    <xf numFmtId="0" fontId="0" fillId="17" borderId="5" xfId="0" applyFill="1" applyBorder="1" applyAlignment="1" applyProtection="1">
      <alignment horizontal="left" vertical="top"/>
    </xf>
    <xf numFmtId="0" fontId="0" fillId="17" borderId="6" xfId="0" applyFill="1" applyBorder="1" applyAlignment="1" applyProtection="1">
      <alignment horizontal="left" vertical="top"/>
    </xf>
    <xf numFmtId="0" fontId="18" fillId="3" borderId="5" xfId="4" applyFill="1" applyBorder="1" applyAlignment="1" applyProtection="1">
      <alignment horizontal="left" vertical="top"/>
    </xf>
    <xf numFmtId="0" fontId="18" fillId="3" borderId="6" xfId="4" applyFill="1" applyBorder="1" applyAlignment="1" applyProtection="1">
      <alignment horizontal="left" vertical="top"/>
    </xf>
    <xf numFmtId="0" fontId="56" fillId="19" borderId="0" xfId="0" applyFont="1" applyFill="1"/>
    <xf numFmtId="0" fontId="12" fillId="0" borderId="0" xfId="0" applyFont="1"/>
    <xf numFmtId="0" fontId="0" fillId="3" borderId="5" xfId="4" applyFont="1" applyFill="1" applyBorder="1" applyAlignment="1" applyProtection="1">
      <alignment horizontal="left" vertical="top"/>
    </xf>
    <xf numFmtId="0" fontId="12" fillId="0" borderId="0" xfId="0" applyFont="1" applyFill="1"/>
    <xf numFmtId="0" fontId="0" fillId="0" borderId="0" xfId="0" applyFill="1" applyBorder="1"/>
    <xf numFmtId="0" fontId="0" fillId="0" borderId="27" xfId="0" applyFill="1" applyBorder="1"/>
    <xf numFmtId="0" fontId="0" fillId="0" borderId="0" xfId="0" applyFill="1"/>
    <xf numFmtId="0" fontId="11" fillId="0" borderId="0" xfId="0" applyFont="1"/>
    <xf numFmtId="0" fontId="61" fillId="0" borderId="0" xfId="0" applyFont="1"/>
    <xf numFmtId="0" fontId="17" fillId="4" borderId="0" xfId="0" applyFont="1" applyFill="1"/>
    <xf numFmtId="0" fontId="63" fillId="0" borderId="0" xfId="0" applyFont="1"/>
    <xf numFmtId="0" fontId="16" fillId="0" borderId="0" xfId="0" applyFont="1" applyFill="1"/>
    <xf numFmtId="0" fontId="17" fillId="0" borderId="0" xfId="0" applyFont="1" applyFill="1"/>
    <xf numFmtId="0" fontId="13" fillId="0" borderId="0" xfId="0" applyFont="1" applyFill="1"/>
    <xf numFmtId="0" fontId="11" fillId="0" borderId="0" xfId="0" applyFont="1" applyFill="1"/>
    <xf numFmtId="0" fontId="15" fillId="0" borderId="0" xfId="0" applyFont="1" applyFill="1"/>
    <xf numFmtId="0" fontId="0" fillId="20" borderId="34" xfId="0" applyFill="1" applyBorder="1"/>
    <xf numFmtId="0" fontId="0" fillId="20" borderId="0" xfId="0" applyFill="1"/>
    <xf numFmtId="0" fontId="0" fillId="5" borderId="26" xfId="0"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wrapText="1"/>
      <protection locked="0"/>
    </xf>
    <xf numFmtId="0" fontId="35" fillId="5" borderId="26"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0" fillId="5" borderId="0" xfId="0" applyFill="1"/>
    <xf numFmtId="0" fontId="48" fillId="5" borderId="5" xfId="0" applyFont="1" applyFill="1" applyBorder="1"/>
    <xf numFmtId="0" fontId="0" fillId="0" borderId="0" xfId="0" applyFont="1" applyAlignment="1" applyProtection="1">
      <alignment wrapText="1"/>
    </xf>
    <xf numFmtId="0" fontId="43" fillId="5" borderId="5" xfId="0" applyFont="1" applyFill="1" applyBorder="1" applyProtection="1">
      <protection locked="0"/>
    </xf>
    <xf numFmtId="0" fontId="21" fillId="0" borderId="0" xfId="0" applyFont="1" applyFill="1" applyBorder="1" applyAlignment="1" applyProtection="1">
      <alignment horizontal="left" vertical="center" wrapText="1"/>
    </xf>
    <xf numFmtId="0" fontId="19" fillId="0" borderId="0" xfId="0" applyFont="1" applyAlignment="1" applyProtection="1">
      <alignment wrapText="1"/>
    </xf>
    <xf numFmtId="0" fontId="32" fillId="2" borderId="1" xfId="0" applyFont="1" applyFill="1" applyBorder="1" applyAlignment="1" applyProtection="1">
      <alignment horizontal="left" vertical="center"/>
    </xf>
    <xf numFmtId="0" fontId="32" fillId="2" borderId="2" xfId="0" applyFont="1" applyFill="1" applyBorder="1" applyAlignment="1" applyProtection="1">
      <alignment horizontal="left" vertical="center"/>
    </xf>
    <xf numFmtId="0" fontId="32" fillId="2" borderId="3" xfId="0" applyFont="1" applyFill="1" applyBorder="1" applyAlignment="1" applyProtection="1">
      <alignment horizontal="left" vertical="center"/>
    </xf>
    <xf numFmtId="0" fontId="33" fillId="3" borderId="18" xfId="0" applyFont="1" applyFill="1" applyBorder="1" applyAlignment="1" applyProtection="1">
      <alignment horizontal="left" vertical="center"/>
    </xf>
    <xf numFmtId="0" fontId="0" fillId="3" borderId="4" xfId="0" applyFont="1" applyFill="1" applyBorder="1" applyAlignment="1" applyProtection="1">
      <alignment horizontal="left" vertical="center"/>
    </xf>
    <xf numFmtId="0" fontId="0" fillId="3" borderId="32" xfId="0" applyFont="1" applyFill="1" applyBorder="1" applyAlignment="1" applyProtection="1">
      <alignment horizontal="left" vertical="center"/>
    </xf>
    <xf numFmtId="0" fontId="0" fillId="3" borderId="33" xfId="0" applyFont="1" applyFill="1" applyBorder="1" applyAlignment="1" applyProtection="1">
      <alignment horizontal="left" vertical="center"/>
    </xf>
    <xf numFmtId="0" fontId="20" fillId="3" borderId="15" xfId="0" applyFont="1" applyFill="1" applyBorder="1" applyAlignment="1" applyProtection="1">
      <alignment horizontal="left" vertical="center" wrapText="1"/>
    </xf>
    <xf numFmtId="0" fontId="24" fillId="3" borderId="15" xfId="0" applyFont="1" applyFill="1" applyBorder="1" applyAlignment="1" applyProtection="1">
      <alignment horizontal="left" vertical="center" wrapText="1"/>
    </xf>
    <xf numFmtId="0" fontId="24" fillId="4" borderId="13" xfId="0" applyFont="1" applyFill="1" applyBorder="1" applyAlignment="1" applyProtection="1">
      <alignment horizontal="left" vertical="center"/>
    </xf>
    <xf numFmtId="0" fontId="24" fillId="4" borderId="7" xfId="0" applyFont="1" applyFill="1" applyBorder="1" applyAlignment="1" applyProtection="1">
      <alignment horizontal="left" vertical="center"/>
    </xf>
    <xf numFmtId="0" fontId="24" fillId="4" borderId="14" xfId="0" applyFont="1" applyFill="1" applyBorder="1" applyAlignment="1" applyProtection="1">
      <alignment horizontal="left" vertical="center"/>
    </xf>
    <xf numFmtId="0" fontId="36" fillId="3" borderId="15" xfId="0" applyFont="1" applyFill="1" applyBorder="1" applyAlignment="1" applyProtection="1">
      <alignment vertical="center" wrapText="1"/>
    </xf>
    <xf numFmtId="0" fontId="36" fillId="3" borderId="5" xfId="0" applyFont="1" applyFill="1" applyBorder="1" applyAlignment="1" applyProtection="1">
      <alignment horizontal="left" vertical="center" wrapText="1"/>
    </xf>
    <xf numFmtId="0" fontId="36" fillId="3" borderId="6" xfId="0" applyFont="1" applyFill="1" applyBorder="1" applyAlignment="1" applyProtection="1">
      <alignment horizontal="left" vertical="center" wrapText="1"/>
    </xf>
    <xf numFmtId="0" fontId="37" fillId="3" borderId="11" xfId="0" applyFont="1" applyFill="1" applyBorder="1" applyAlignment="1" applyProtection="1">
      <alignment horizontal="left" vertical="center" wrapText="1"/>
    </xf>
    <xf numFmtId="0" fontId="37" fillId="8" borderId="1" xfId="0" applyFont="1" applyFill="1" applyBorder="1" applyAlignment="1" applyProtection="1">
      <alignment vertical="center" wrapText="1"/>
    </xf>
    <xf numFmtId="0" fontId="37" fillId="8" borderId="2" xfId="0" applyFont="1" applyFill="1" applyBorder="1" applyAlignment="1" applyProtection="1">
      <alignment vertical="center" wrapText="1"/>
    </xf>
    <xf numFmtId="0" fontId="37" fillId="8" borderId="3" xfId="0" applyFont="1" applyFill="1" applyBorder="1" applyAlignment="1" applyProtection="1">
      <alignment vertical="center" wrapText="1"/>
    </xf>
    <xf numFmtId="0" fontId="20" fillId="3" borderId="22" xfId="0" applyFont="1" applyFill="1" applyBorder="1" applyAlignment="1" applyProtection="1">
      <alignment horizontal="center" vertical="center" wrapText="1"/>
    </xf>
    <xf numFmtId="0" fontId="20" fillId="4" borderId="13" xfId="0" applyFont="1" applyFill="1" applyBorder="1" applyAlignment="1" applyProtection="1">
      <alignment horizontal="left" vertical="center"/>
    </xf>
    <xf numFmtId="0" fontId="20" fillId="4" borderId="7" xfId="0" applyFont="1" applyFill="1" applyBorder="1" applyAlignment="1" applyProtection="1">
      <alignment horizontal="left" vertical="center" wrapText="1"/>
    </xf>
    <xf numFmtId="0" fontId="20" fillId="4" borderId="14" xfId="0" applyFont="1" applyFill="1" applyBorder="1" applyAlignment="1" applyProtection="1">
      <alignment horizontal="left" vertical="center" wrapText="1"/>
    </xf>
    <xf numFmtId="0" fontId="0" fillId="3" borderId="13" xfId="0" applyFont="1" applyFill="1" applyBorder="1" applyAlignment="1" applyProtection="1">
      <alignment vertical="center" wrapText="1"/>
    </xf>
    <xf numFmtId="0" fontId="0" fillId="3" borderId="5" xfId="0" applyFont="1" applyFill="1" applyBorder="1" applyAlignment="1" applyProtection="1">
      <alignment horizontal="center" vertical="center" wrapText="1"/>
    </xf>
    <xf numFmtId="0" fontId="0" fillId="3" borderId="8" xfId="0" applyFont="1" applyFill="1" applyBorder="1" applyAlignment="1" applyProtection="1">
      <alignment horizontal="center" vertical="center" wrapText="1"/>
    </xf>
    <xf numFmtId="0" fontId="20" fillId="4" borderId="7" xfId="0" applyFont="1" applyFill="1" applyBorder="1" applyAlignment="1" applyProtection="1">
      <alignment horizontal="left" vertical="center"/>
    </xf>
    <xf numFmtId="0" fontId="20" fillId="4" borderId="14" xfId="0" applyFont="1" applyFill="1" applyBorder="1" applyAlignment="1" applyProtection="1">
      <alignment horizontal="left" vertical="center"/>
    </xf>
    <xf numFmtId="0" fontId="20" fillId="3" borderId="13" xfId="0" applyFont="1" applyFill="1" applyBorder="1" applyAlignment="1" applyProtection="1">
      <alignment horizontal="left" vertical="center"/>
    </xf>
    <xf numFmtId="0" fontId="0" fillId="5" borderId="0" xfId="0" applyFont="1" applyFill="1" applyAlignment="1" applyProtection="1">
      <alignment wrapText="1"/>
    </xf>
    <xf numFmtId="0" fontId="0" fillId="5" borderId="29" xfId="0" applyFont="1" applyFill="1" applyBorder="1" applyAlignment="1" applyProtection="1">
      <alignment wrapText="1"/>
    </xf>
    <xf numFmtId="0" fontId="0" fillId="5" borderId="0" xfId="0" applyFont="1" applyFill="1" applyBorder="1" applyAlignment="1" applyProtection="1">
      <alignment wrapText="1"/>
    </xf>
    <xf numFmtId="0" fontId="0" fillId="5" borderId="35" xfId="0" applyFont="1" applyFill="1" applyBorder="1" applyAlignment="1" applyProtection="1">
      <alignment wrapText="1"/>
    </xf>
    <xf numFmtId="0" fontId="20" fillId="4" borderId="7" xfId="0" applyFont="1" applyFill="1" applyBorder="1" applyAlignment="1" applyProtection="1">
      <alignment vertical="center" wrapText="1"/>
    </xf>
    <xf numFmtId="0" fontId="20" fillId="4" borderId="14" xfId="0" applyFont="1" applyFill="1" applyBorder="1" applyAlignment="1" applyProtection="1">
      <alignment vertical="center" wrapText="1"/>
    </xf>
    <xf numFmtId="0" fontId="19" fillId="5" borderId="0" xfId="0" applyFont="1" applyFill="1" applyAlignment="1" applyProtection="1">
      <alignment wrapText="1"/>
    </xf>
    <xf numFmtId="0" fontId="27" fillId="0" borderId="0" xfId="0" applyFont="1" applyAlignment="1" applyProtection="1">
      <alignment horizontal="center" vertical="center" wrapText="1"/>
    </xf>
    <xf numFmtId="0" fontId="33" fillId="3" borderId="24" xfId="0" applyFont="1" applyFill="1" applyBorder="1" applyAlignment="1" applyProtection="1">
      <alignment horizontal="left" vertical="center"/>
    </xf>
    <xf numFmtId="0" fontId="0" fillId="3" borderId="31" xfId="0" applyFont="1" applyFill="1" applyBorder="1" applyAlignment="1" applyProtection="1">
      <alignment horizontal="left" vertical="center"/>
    </xf>
    <xf numFmtId="0" fontId="0" fillId="0" borderId="0" xfId="0" applyFont="1" applyAlignment="1" applyProtection="1">
      <alignment vertical="center" wrapText="1"/>
    </xf>
    <xf numFmtId="0" fontId="26" fillId="3" borderId="13" xfId="0" applyFont="1" applyFill="1" applyBorder="1" applyAlignment="1" applyProtection="1">
      <alignment vertical="center" wrapText="1"/>
    </xf>
    <xf numFmtId="0" fontId="26" fillId="3" borderId="15" xfId="0" applyFont="1" applyFill="1" applyBorder="1" applyAlignment="1" applyProtection="1">
      <alignment vertical="center" wrapText="1"/>
    </xf>
    <xf numFmtId="0" fontId="38" fillId="0" borderId="0" xfId="0" applyFont="1" applyAlignment="1" applyProtection="1">
      <alignment vertical="center" wrapText="1"/>
    </xf>
    <xf numFmtId="0" fontId="23" fillId="0" borderId="0"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0" fillId="0" borderId="0" xfId="0" applyFont="1" applyFill="1" applyBorder="1" applyAlignment="1" applyProtection="1">
      <alignment wrapText="1"/>
    </xf>
    <xf numFmtId="0" fontId="0" fillId="0" borderId="0" xfId="0" applyFont="1" applyFill="1" applyBorder="1" applyAlignment="1" applyProtection="1">
      <alignment horizontal="left" vertical="center" wrapText="1"/>
    </xf>
    <xf numFmtId="0" fontId="40" fillId="10" borderId="2" xfId="0" applyFont="1" applyFill="1" applyBorder="1" applyAlignment="1" applyProtection="1">
      <alignment horizontal="left" vertical="center"/>
    </xf>
    <xf numFmtId="0" fontId="40" fillId="10" borderId="3" xfId="0" applyFont="1" applyFill="1" applyBorder="1" applyAlignment="1" applyProtection="1">
      <alignment horizontal="left" vertical="center"/>
    </xf>
    <xf numFmtId="0" fontId="41" fillId="11" borderId="41" xfId="0" applyFont="1" applyFill="1" applyBorder="1" applyAlignment="1" applyProtection="1">
      <alignment horizontal="left" vertical="center"/>
    </xf>
    <xf numFmtId="0" fontId="0" fillId="11" borderId="31" xfId="0" applyFont="1" applyFill="1" applyBorder="1" applyAlignment="1" applyProtection="1">
      <alignment horizontal="left" vertical="center"/>
    </xf>
    <xf numFmtId="0" fontId="0" fillId="11" borderId="33" xfId="0" applyFont="1" applyFill="1" applyBorder="1" applyAlignment="1" applyProtection="1">
      <alignment horizontal="left" vertical="center"/>
    </xf>
    <xf numFmtId="0" fontId="49" fillId="14" borderId="6" xfId="0" applyFont="1" applyFill="1" applyBorder="1" applyAlignment="1" applyProtection="1">
      <alignment horizontal="left" vertical="center"/>
    </xf>
    <xf numFmtId="0" fontId="49" fillId="14" borderId="7" xfId="0" applyFont="1" applyFill="1" applyBorder="1" applyAlignment="1" applyProtection="1">
      <alignment horizontal="left" vertical="center" wrapText="1"/>
    </xf>
    <xf numFmtId="0" fontId="49" fillId="14" borderId="14" xfId="0" applyFont="1" applyFill="1" applyBorder="1" applyAlignment="1" applyProtection="1">
      <alignment horizontal="left" vertical="center" wrapText="1"/>
    </xf>
    <xf numFmtId="0" fontId="24" fillId="12" borderId="7" xfId="0" applyFont="1" applyFill="1" applyBorder="1" applyAlignment="1" applyProtection="1">
      <alignment horizontal="left" vertical="center"/>
    </xf>
    <xf numFmtId="0" fontId="24" fillId="12" borderId="14" xfId="0" applyFont="1" applyFill="1" applyBorder="1" applyAlignment="1" applyProtection="1">
      <alignment horizontal="left" vertical="center"/>
    </xf>
    <xf numFmtId="0" fontId="42" fillId="12" borderId="7" xfId="0" applyFont="1" applyFill="1" applyBorder="1" applyAlignment="1" applyProtection="1">
      <alignment horizontal="left" vertical="center"/>
    </xf>
    <xf numFmtId="0" fontId="42" fillId="12" borderId="14" xfId="0" applyFont="1" applyFill="1" applyBorder="1" applyAlignment="1" applyProtection="1">
      <alignment horizontal="left" vertical="center"/>
    </xf>
    <xf numFmtId="0" fontId="26" fillId="11" borderId="5" xfId="0" applyFont="1" applyFill="1" applyBorder="1" applyAlignment="1" applyProtection="1">
      <alignment horizontal="center" vertical="center" wrapText="1"/>
    </xf>
    <xf numFmtId="0" fontId="38" fillId="0" borderId="0" xfId="0" applyFont="1" applyFill="1" applyBorder="1" applyAlignment="1" applyProtection="1">
      <alignment wrapText="1"/>
    </xf>
    <xf numFmtId="0" fontId="26" fillId="11" borderId="13" xfId="0" applyFont="1" applyFill="1" applyBorder="1" applyAlignment="1" applyProtection="1">
      <alignment vertical="center" wrapText="1"/>
    </xf>
    <xf numFmtId="0" fontId="26" fillId="11" borderId="15" xfId="0" applyFont="1" applyFill="1" applyBorder="1" applyAlignment="1" applyProtection="1">
      <alignment vertical="center" wrapText="1"/>
    </xf>
    <xf numFmtId="0" fontId="26" fillId="11" borderId="8" xfId="0" applyFont="1" applyFill="1" applyBorder="1" applyAlignment="1" applyProtection="1">
      <alignment horizontal="center" vertical="center" wrapText="1"/>
    </xf>
    <xf numFmtId="0" fontId="24" fillId="12" borderId="13" xfId="0" applyFont="1" applyFill="1" applyBorder="1" applyAlignment="1" applyProtection="1">
      <alignment horizontal="left" vertical="center"/>
    </xf>
    <xf numFmtId="0" fontId="34" fillId="12" borderId="14" xfId="0" applyFont="1" applyFill="1" applyBorder="1" applyAlignment="1" applyProtection="1">
      <alignment horizontal="left" vertical="center"/>
    </xf>
    <xf numFmtId="0" fontId="38" fillId="0" borderId="0" xfId="0" applyFont="1" applyFill="1" applyBorder="1" applyAlignment="1" applyProtection="1">
      <alignment vertical="top" wrapText="1"/>
    </xf>
    <xf numFmtId="0" fontId="24" fillId="12" borderId="24" xfId="0" applyFont="1" applyFill="1" applyBorder="1" applyAlignment="1" applyProtection="1">
      <alignment horizontal="left" vertical="center"/>
    </xf>
    <xf numFmtId="0" fontId="24" fillId="12" borderId="27" xfId="0" applyFont="1" applyFill="1" applyBorder="1" applyAlignment="1" applyProtection="1">
      <alignment horizontal="left" vertical="center"/>
    </xf>
    <xf numFmtId="0" fontId="34" fillId="12" borderId="36" xfId="0" applyFont="1" applyFill="1" applyBorder="1" applyAlignment="1" applyProtection="1">
      <alignment horizontal="left" vertical="center"/>
    </xf>
    <xf numFmtId="0" fontId="26" fillId="11" borderId="4" xfId="0" applyFont="1" applyFill="1" applyBorder="1" applyAlignment="1" applyProtection="1">
      <alignment horizontal="center" vertical="center" wrapText="1"/>
    </xf>
    <xf numFmtId="0" fontId="24" fillId="12" borderId="7" xfId="0" applyFont="1" applyFill="1" applyBorder="1" applyAlignment="1" applyProtection="1">
      <alignment horizontal="left" vertical="center" wrapText="1"/>
    </xf>
    <xf numFmtId="0" fontId="34" fillId="12" borderId="14" xfId="0" applyFont="1" applyFill="1" applyBorder="1" applyAlignment="1" applyProtection="1">
      <alignment horizontal="left" vertical="center" wrapText="1"/>
    </xf>
    <xf numFmtId="0" fontId="26" fillId="13" borderId="9" xfId="0" applyFont="1" applyFill="1" applyBorder="1" applyAlignment="1" applyProtection="1">
      <alignment horizontal="center" vertical="center" wrapText="1"/>
    </xf>
    <xf numFmtId="0" fontId="26" fillId="13" borderId="8" xfId="0" applyFont="1" applyFill="1" applyBorder="1" applyAlignment="1" applyProtection="1">
      <alignment horizontal="center" vertical="center" wrapText="1"/>
    </xf>
    <xf numFmtId="3" fontId="26" fillId="14" borderId="4" xfId="0" applyNumberFormat="1" applyFont="1" applyFill="1" applyBorder="1" applyAlignment="1" applyProtection="1">
      <alignment horizontal="right" vertical="center" wrapText="1"/>
    </xf>
    <xf numFmtId="3" fontId="26" fillId="14" borderId="5" xfId="0" applyNumberFormat="1" applyFont="1" applyFill="1" applyBorder="1" applyAlignment="1" applyProtection="1">
      <alignment horizontal="right" vertical="center" wrapText="1"/>
    </xf>
    <xf numFmtId="9" fontId="0" fillId="21" borderId="5" xfId="1" applyFont="1" applyFill="1" applyBorder="1" applyAlignment="1" applyProtection="1">
      <alignment horizontal="right" vertical="center" wrapText="1"/>
    </xf>
    <xf numFmtId="0" fontId="26" fillId="14" borderId="7" xfId="0" applyFont="1" applyFill="1" applyBorder="1" applyAlignment="1" applyProtection="1">
      <alignment horizontal="left" vertical="center" wrapText="1"/>
    </xf>
    <xf numFmtId="0" fontId="26" fillId="14" borderId="14" xfId="0" applyFont="1" applyFill="1" applyBorder="1" applyAlignment="1" applyProtection="1">
      <alignment horizontal="left" vertical="center" wrapText="1"/>
    </xf>
    <xf numFmtId="0" fontId="26" fillId="13" borderId="5" xfId="0" applyFont="1" applyFill="1" applyBorder="1" applyAlignment="1" applyProtection="1">
      <alignment horizontal="center" vertical="center" wrapText="1"/>
    </xf>
    <xf numFmtId="0" fontId="54" fillId="0" borderId="0" xfId="0" applyFont="1" applyFill="1" applyBorder="1" applyAlignment="1" applyProtection="1">
      <alignment wrapText="1"/>
    </xf>
    <xf numFmtId="3" fontId="26" fillId="15" borderId="5" xfId="1" applyNumberFormat="1" applyFont="1" applyFill="1" applyBorder="1" applyAlignment="1" applyProtection="1">
      <alignment horizontal="right" vertical="center" wrapText="1"/>
      <protection locked="0"/>
    </xf>
    <xf numFmtId="3" fontId="26" fillId="22" borderId="5" xfId="2" applyNumberFormat="1" applyFont="1" applyFill="1" applyBorder="1" applyAlignment="1" applyProtection="1">
      <alignment horizontal="right" vertical="center" wrapText="1"/>
    </xf>
    <xf numFmtId="3" fontId="26" fillId="22" borderId="5" xfId="0" applyNumberFormat="1" applyFont="1" applyFill="1" applyBorder="1" applyAlignment="1" applyProtection="1">
      <alignment horizontal="right" vertical="center" wrapText="1"/>
    </xf>
    <xf numFmtId="0" fontId="57" fillId="0" borderId="0" xfId="0" applyFont="1" applyFill="1" applyAlignment="1">
      <alignment vertical="top"/>
    </xf>
    <xf numFmtId="0" fontId="26" fillId="0" borderId="0" xfId="0" applyFont="1" applyFill="1" applyAlignment="1">
      <alignment vertical="top"/>
    </xf>
    <xf numFmtId="0" fontId="26" fillId="0" borderId="0" xfId="0" applyFont="1" applyFill="1" applyAlignment="1">
      <alignment horizontal="center" vertical="top"/>
    </xf>
    <xf numFmtId="0" fontId="0" fillId="18" borderId="0" xfId="0" applyFill="1" applyAlignment="1">
      <alignment vertical="top" wrapText="1"/>
    </xf>
    <xf numFmtId="0" fontId="26" fillId="0" borderId="0" xfId="4" applyFont="1" applyFill="1" applyAlignment="1">
      <alignment vertical="top"/>
    </xf>
    <xf numFmtId="0" fontId="26" fillId="0" borderId="0" xfId="0" applyFont="1" applyAlignment="1">
      <alignment vertical="top"/>
    </xf>
    <xf numFmtId="0" fontId="67" fillId="0" borderId="0" xfId="0" applyFont="1" applyFill="1" applyAlignment="1">
      <alignment vertical="top"/>
    </xf>
    <xf numFmtId="0" fontId="26" fillId="0" borderId="0" xfId="0" applyFont="1" applyFill="1" applyAlignment="1"/>
    <xf numFmtId="0" fontId="26" fillId="18" borderId="0" xfId="0" applyFont="1" applyFill="1" applyAlignment="1">
      <alignment vertical="top"/>
    </xf>
    <xf numFmtId="0" fontId="26" fillId="18" borderId="0" xfId="0" applyFont="1" applyFill="1" applyAlignment="1">
      <alignment vertical="top" wrapText="1"/>
    </xf>
    <xf numFmtId="0" fontId="56" fillId="0" borderId="0" xfId="0" applyFont="1" applyFill="1"/>
    <xf numFmtId="0" fontId="56" fillId="18" borderId="0" xfId="0" applyFont="1" applyFill="1"/>
    <xf numFmtId="0" fontId="26" fillId="0" borderId="0" xfId="0" applyFont="1" applyFill="1"/>
    <xf numFmtId="0" fontId="67" fillId="0" borderId="0" xfId="0" applyFont="1" applyFill="1"/>
    <xf numFmtId="0" fontId="63" fillId="0" borderId="0" xfId="0" applyFont="1" applyFill="1"/>
    <xf numFmtId="0" fontId="10" fillId="0" borderId="0" xfId="0" quotePrefix="1" applyFont="1" applyFill="1"/>
    <xf numFmtId="0" fontId="18" fillId="0" borderId="5" xfId="4" applyFill="1" applyBorder="1" applyAlignment="1" applyProtection="1">
      <alignment horizontal="left" vertical="top"/>
    </xf>
    <xf numFmtId="0" fontId="18" fillId="0" borderId="6" xfId="4" applyFill="1" applyBorder="1" applyAlignment="1" applyProtection="1">
      <alignment horizontal="left" vertical="top"/>
    </xf>
    <xf numFmtId="0" fontId="43" fillId="0" borderId="0" xfId="0" applyFont="1" applyFill="1"/>
    <xf numFmtId="0" fontId="64" fillId="0" borderId="0" xfId="0" applyFont="1" applyFill="1"/>
    <xf numFmtId="0" fontId="9" fillId="18" borderId="0" xfId="0" applyFont="1" applyFill="1"/>
    <xf numFmtId="0" fontId="38" fillId="18" borderId="0" xfId="0" applyFont="1" applyFill="1" applyAlignment="1">
      <alignment vertical="top"/>
    </xf>
    <xf numFmtId="0" fontId="53" fillId="18" borderId="0" xfId="0" applyFont="1" applyFill="1"/>
    <xf numFmtId="0" fontId="56" fillId="0" borderId="0" xfId="0" applyFont="1"/>
    <xf numFmtId="0" fontId="26" fillId="0" borderId="0" xfId="0" applyFont="1" applyFill="1" applyAlignment="1">
      <alignment vertical="top" wrapText="1"/>
    </xf>
    <xf numFmtId="0" fontId="8" fillId="18" borderId="0" xfId="0" applyFont="1" applyFill="1"/>
    <xf numFmtId="0" fontId="55" fillId="18" borderId="0" xfId="3" applyFill="1" applyAlignment="1">
      <alignment vertical="top" wrapText="1"/>
    </xf>
    <xf numFmtId="0" fontId="7" fillId="0" borderId="0" xfId="0" applyFont="1" applyFill="1"/>
    <xf numFmtId="164" fontId="0" fillId="5" borderId="5" xfId="2" applyNumberFormat="1" applyFont="1" applyFill="1" applyBorder="1" applyAlignment="1" applyProtection="1">
      <alignment horizontal="right" vertical="center" wrapText="1"/>
      <protection locked="0"/>
    </xf>
    <xf numFmtId="164" fontId="26" fillId="15" borderId="5" xfId="2" applyNumberFormat="1" applyFont="1" applyFill="1" applyBorder="1" applyAlignment="1" applyProtection="1">
      <alignment horizontal="right" vertical="center" wrapText="1"/>
      <protection locked="0"/>
    </xf>
    <xf numFmtId="0" fontId="67" fillId="0" borderId="0" xfId="0" applyFont="1" applyFill="1" applyAlignment="1">
      <alignment vertical="top" wrapText="1"/>
    </xf>
    <xf numFmtId="0" fontId="68" fillId="5" borderId="0" xfId="0" applyFont="1" applyFill="1" applyAlignment="1"/>
    <xf numFmtId="0" fontId="32" fillId="5" borderId="0" xfId="0" applyFont="1" applyFill="1" applyAlignment="1"/>
    <xf numFmtId="0" fontId="14" fillId="23" borderId="5" xfId="0" applyFont="1" applyFill="1" applyBorder="1"/>
    <xf numFmtId="0" fontId="29" fillId="9" borderId="42" xfId="0" applyFont="1" applyFill="1" applyBorder="1" applyAlignment="1" applyProtection="1">
      <alignment horizontal="left" vertical="center" wrapText="1"/>
    </xf>
    <xf numFmtId="0" fontId="30" fillId="9" borderId="42" xfId="0" applyFont="1" applyFill="1" applyBorder="1" applyAlignment="1" applyProtection="1">
      <alignment horizontal="center" vertical="center" wrapText="1"/>
    </xf>
    <xf numFmtId="0" fontId="26" fillId="23" borderId="42" xfId="0" applyFont="1" applyFill="1" applyBorder="1" applyAlignment="1" applyProtection="1">
      <alignment horizontal="left" vertical="center" wrapText="1"/>
    </xf>
    <xf numFmtId="0" fontId="29" fillId="23" borderId="42" xfId="0" applyFont="1" applyFill="1" applyBorder="1" applyAlignment="1" applyProtection="1">
      <alignment horizontal="left" vertical="center" wrapText="1"/>
    </xf>
    <xf numFmtId="0" fontId="30" fillId="23" borderId="42" xfId="0" applyFont="1" applyFill="1" applyBorder="1" applyAlignment="1" applyProtection="1">
      <alignment horizontal="center" vertical="center" wrapText="1"/>
    </xf>
    <xf numFmtId="0" fontId="55" fillId="0" borderId="0" xfId="3" applyFill="1" applyAlignment="1">
      <alignment vertical="top" wrapText="1"/>
    </xf>
    <xf numFmtId="0" fontId="46" fillId="0" borderId="0" xfId="0" applyFont="1" applyFill="1"/>
    <xf numFmtId="0" fontId="56" fillId="0" borderId="0" xfId="0" applyFont="1" applyFill="1" applyAlignment="1"/>
    <xf numFmtId="0" fontId="6" fillId="0" borderId="0" xfId="0" applyFont="1" applyFill="1"/>
    <xf numFmtId="0" fontId="46" fillId="0" borderId="0" xfId="0" applyFont="1" applyFill="1" applyAlignment="1"/>
    <xf numFmtId="0" fontId="0" fillId="0" borderId="0" xfId="0" applyFont="1" applyFill="1" applyAlignment="1">
      <alignment vertical="top" wrapText="1"/>
    </xf>
    <xf numFmtId="0" fontId="26" fillId="0" borderId="0" xfId="0" applyFont="1" applyFill="1" applyAlignment="1">
      <alignment horizontal="left" vertical="top" wrapText="1"/>
    </xf>
    <xf numFmtId="0" fontId="38" fillId="18" borderId="0" xfId="0" applyFont="1" applyFill="1" applyAlignment="1">
      <alignment vertical="top" wrapText="1"/>
    </xf>
    <xf numFmtId="0" fontId="38" fillId="0" borderId="0" xfId="0" applyFont="1" applyFill="1" applyAlignment="1">
      <alignment vertical="top"/>
    </xf>
    <xf numFmtId="0" fontId="5" fillId="0" borderId="0" xfId="0" applyFont="1" applyFill="1"/>
    <xf numFmtId="0" fontId="70" fillId="0" borderId="0" xfId="0" applyFont="1" applyFill="1"/>
    <xf numFmtId="0" fontId="46" fillId="0" borderId="5" xfId="0" applyFont="1" applyBorder="1" applyAlignment="1"/>
    <xf numFmtId="0" fontId="46" fillId="0" borderId="5" xfId="0" applyFont="1" applyBorder="1"/>
    <xf numFmtId="0" fontId="62" fillId="0" borderId="0" xfId="0" applyFont="1" applyFill="1"/>
    <xf numFmtId="0" fontId="46" fillId="0" borderId="0" xfId="0" applyFont="1"/>
    <xf numFmtId="0" fontId="0" fillId="0" borderId="5" xfId="0" applyFont="1" applyBorder="1" applyAlignment="1">
      <alignment wrapText="1"/>
    </xf>
    <xf numFmtId="0" fontId="4" fillId="0" borderId="5" xfId="0" applyFont="1" applyBorder="1" applyAlignment="1"/>
    <xf numFmtId="0" fontId="0" fillId="0" borderId="5" xfId="0" applyFont="1" applyBorder="1" applyAlignment="1">
      <alignment vertical="top" wrapText="1"/>
    </xf>
    <xf numFmtId="0" fontId="0" fillId="0" borderId="5" xfId="0" applyFont="1" applyBorder="1" applyAlignment="1">
      <alignment vertical="center" wrapText="1"/>
    </xf>
    <xf numFmtId="0" fontId="46" fillId="0" borderId="5" xfId="0" applyFont="1" applyBorder="1" applyAlignment="1">
      <alignment vertical="center" wrapText="1"/>
    </xf>
    <xf numFmtId="0" fontId="46" fillId="0" borderId="5" xfId="0" applyFont="1" applyBorder="1" applyAlignment="1">
      <alignment vertical="top" wrapText="1"/>
    </xf>
    <xf numFmtId="0" fontId="46" fillId="0" borderId="5" xfId="0" applyFont="1" applyBorder="1" applyAlignment="1">
      <alignment vertical="top"/>
    </xf>
    <xf numFmtId="0" fontId="0" fillId="0" borderId="5" xfId="0" applyFont="1" applyBorder="1" applyAlignment="1">
      <alignment vertical="top"/>
    </xf>
    <xf numFmtId="0" fontId="58" fillId="0" borderId="0" xfId="0" applyFont="1" applyFill="1"/>
    <xf numFmtId="0" fontId="46" fillId="0" borderId="0" xfId="0" applyFont="1"/>
    <xf numFmtId="0" fontId="46" fillId="0" borderId="0" xfId="0" applyFont="1"/>
    <xf numFmtId="0" fontId="46" fillId="0" borderId="0" xfId="0" applyFont="1"/>
    <xf numFmtId="0" fontId="46" fillId="0" borderId="0" xfId="0" applyFont="1"/>
    <xf numFmtId="0" fontId="67" fillId="0" borderId="0" xfId="0" applyFont="1" applyFill="1" applyAlignment="1">
      <alignment vertical="top"/>
    </xf>
    <xf numFmtId="0" fontId="67" fillId="0" borderId="0" xfId="0" applyFont="1" applyFill="1"/>
    <xf numFmtId="0" fontId="26" fillId="0" borderId="0" xfId="0" applyFont="1" applyFill="1" applyAlignment="1">
      <alignment vertical="top" wrapText="1"/>
    </xf>
    <xf numFmtId="0" fontId="67" fillId="0" borderId="0" xfId="0" applyFont="1" applyFill="1" applyAlignment="1">
      <alignment vertical="top" wrapText="1"/>
    </xf>
    <xf numFmtId="0" fontId="46" fillId="0" borderId="0" xfId="0" applyFont="1"/>
    <xf numFmtId="0" fontId="67" fillId="0" borderId="0" xfId="0" applyFont="1" applyFill="1"/>
    <xf numFmtId="0" fontId="0" fillId="18" borderId="0" xfId="0" applyFill="1" applyAlignment="1">
      <alignment vertical="top"/>
    </xf>
    <xf numFmtId="0" fontId="3" fillId="0" borderId="0" xfId="0" applyFont="1"/>
    <xf numFmtId="0" fontId="0" fillId="0" borderId="0" xfId="0" applyFont="1"/>
    <xf numFmtId="0" fontId="0" fillId="0" borderId="0" xfId="0" applyFill="1" applyAlignment="1">
      <alignment vertical="top" wrapText="1"/>
    </xf>
    <xf numFmtId="0" fontId="57" fillId="0" borderId="0" xfId="0" applyFont="1" applyFill="1" applyAlignment="1">
      <alignment vertical="top" wrapText="1"/>
    </xf>
    <xf numFmtId="0" fontId="0" fillId="0" borderId="0" xfId="0" applyFont="1" applyAlignment="1">
      <alignment vertical="top" wrapText="1"/>
    </xf>
    <xf numFmtId="0" fontId="2" fillId="0" borderId="0" xfId="0" applyFont="1"/>
    <xf numFmtId="0" fontId="2" fillId="0" borderId="0" xfId="0" applyFont="1" applyFill="1" applyAlignment="1">
      <alignment wrapText="1"/>
    </xf>
    <xf numFmtId="0" fontId="2" fillId="0" borderId="0" xfId="0" applyFont="1" applyAlignment="1"/>
    <xf numFmtId="0" fontId="2" fillId="0" borderId="0" xfId="0" applyFont="1" applyFill="1" applyAlignment="1"/>
    <xf numFmtId="1" fontId="0" fillId="5" borderId="5" xfId="1" applyNumberFormat="1" applyFont="1" applyFill="1" applyBorder="1" applyAlignment="1" applyProtection="1">
      <alignment horizontal="right" vertical="center" wrapText="1"/>
      <protection locked="0"/>
    </xf>
    <xf numFmtId="9" fontId="0" fillId="14" borderId="5" xfId="1" applyFont="1" applyFill="1" applyBorder="1" applyAlignment="1" applyProtection="1">
      <alignment horizontal="right" vertical="center" wrapText="1"/>
      <protection locked="0"/>
    </xf>
    <xf numFmtId="0" fontId="0" fillId="14" borderId="5" xfId="1" applyNumberFormat="1" applyFont="1" applyFill="1" applyBorder="1" applyAlignment="1" applyProtection="1">
      <alignment horizontal="right" vertical="center" wrapText="1"/>
      <protection locked="0"/>
    </xf>
    <xf numFmtId="3" fontId="0" fillId="14" borderId="5" xfId="0" applyNumberFormat="1" applyFont="1" applyFill="1" applyBorder="1" applyAlignment="1" applyProtection="1">
      <alignment horizontal="right" vertical="center" wrapText="1"/>
      <protection locked="0"/>
    </xf>
    <xf numFmtId="10" fontId="26" fillId="5" borderId="5" xfId="0" applyNumberFormat="1" applyFont="1" applyFill="1" applyBorder="1" applyAlignment="1" applyProtection="1">
      <alignment vertical="center" wrapText="1"/>
      <protection locked="0"/>
    </xf>
    <xf numFmtId="3" fontId="0" fillId="5" borderId="5" xfId="0" applyNumberFormat="1" applyFill="1" applyBorder="1" applyAlignment="1" applyProtection="1">
      <alignment horizontal="right" vertical="center" wrapText="1"/>
      <protection locked="0"/>
    </xf>
    <xf numFmtId="0" fontId="0" fillId="5" borderId="16" xfId="0" applyFill="1" applyBorder="1" applyAlignment="1" applyProtection="1">
      <alignment horizontal="left" vertical="center" wrapText="1"/>
      <protection locked="0"/>
    </xf>
    <xf numFmtId="0" fontId="0" fillId="5" borderId="36" xfId="0" applyFill="1" applyBorder="1" applyAlignment="1" applyProtection="1">
      <alignment horizontal="left" vertical="center" wrapText="1"/>
      <protection locked="0"/>
    </xf>
    <xf numFmtId="9" fontId="26" fillId="5" borderId="5" xfId="0" applyNumberFormat="1" applyFont="1" applyFill="1" applyBorder="1" applyAlignment="1" applyProtection="1">
      <alignment vertical="center" wrapText="1"/>
      <protection locked="0"/>
    </xf>
    <xf numFmtId="0" fontId="0" fillId="5" borderId="5" xfId="0" applyFill="1" applyBorder="1" applyAlignment="1" applyProtection="1">
      <alignment horizontal="right" vertical="center" wrapText="1"/>
      <protection locked="0"/>
    </xf>
    <xf numFmtId="3" fontId="26" fillId="5" borderId="5" xfId="0" applyNumberFormat="1" applyFont="1" applyFill="1" applyBorder="1" applyAlignment="1" applyProtection="1">
      <alignment vertical="center" wrapText="1"/>
      <protection locked="0"/>
    </xf>
    <xf numFmtId="0" fontId="0" fillId="5" borderId="16" xfId="0" applyFill="1" applyBorder="1" applyAlignment="1" applyProtection="1">
      <alignment vertical="center" wrapText="1"/>
      <protection locked="0"/>
    </xf>
    <xf numFmtId="164" fontId="0" fillId="5" borderId="5" xfId="0" applyNumberFormat="1" applyFont="1" applyFill="1" applyBorder="1" applyAlignment="1" applyProtection="1">
      <alignment horizontal="right" vertical="center" wrapText="1"/>
      <protection locked="0"/>
    </xf>
    <xf numFmtId="0" fontId="26" fillId="5" borderId="0" xfId="0" applyFont="1" applyFill="1" applyAlignment="1">
      <alignment horizontal="left" vertical="top" wrapText="1"/>
    </xf>
    <xf numFmtId="0" fontId="33" fillId="23" borderId="42" xfId="0" applyFont="1" applyFill="1" applyBorder="1" applyAlignment="1" applyProtection="1">
      <alignment horizontal="left" vertical="center" wrapText="1"/>
    </xf>
    <xf numFmtId="0" fontId="44" fillId="23" borderId="42" xfId="0" applyFont="1" applyFill="1" applyBorder="1" applyAlignment="1" applyProtection="1">
      <alignment horizontal="left" vertical="center" wrapText="1"/>
    </xf>
    <xf numFmtId="0" fontId="55" fillId="0" borderId="42" xfId="3" applyFill="1" applyBorder="1" applyAlignment="1" applyProtection="1">
      <alignment horizontal="left" vertical="center" wrapText="1"/>
    </xf>
    <xf numFmtId="0" fontId="26" fillId="0" borderId="42" xfId="0" applyFont="1" applyFill="1" applyBorder="1" applyAlignment="1" applyProtection="1">
      <alignment horizontal="left" vertical="center" wrapText="1"/>
    </xf>
    <xf numFmtId="0" fontId="26" fillId="0" borderId="42" xfId="0" applyFont="1" applyBorder="1" applyAlignment="1" applyProtection="1">
      <alignment horizontal="left" vertical="center" wrapText="1"/>
    </xf>
    <xf numFmtId="0" fontId="26" fillId="3" borderId="42" xfId="0" applyFont="1" applyFill="1" applyBorder="1" applyAlignment="1" applyProtection="1">
      <alignment horizontal="left" vertical="center" wrapText="1"/>
    </xf>
    <xf numFmtId="0" fontId="26" fillId="5" borderId="42" xfId="0" applyFont="1" applyFill="1" applyBorder="1" applyAlignment="1" applyProtection="1">
      <alignment horizontal="left" vertical="center" wrapText="1"/>
    </xf>
    <xf numFmtId="4" fontId="26" fillId="0" borderId="42" xfId="0" applyNumberFormat="1" applyFont="1" applyFill="1" applyBorder="1" applyAlignment="1" applyProtection="1">
      <alignment vertical="center" wrapText="1"/>
    </xf>
    <xf numFmtId="0" fontId="55" fillId="5" borderId="42" xfId="3" applyFill="1" applyBorder="1" applyAlignment="1" applyProtection="1">
      <alignment horizontal="left" vertical="center" wrapText="1"/>
    </xf>
    <xf numFmtId="4" fontId="26" fillId="0" borderId="42" xfId="0" applyNumberFormat="1" applyFont="1" applyBorder="1" applyAlignment="1" applyProtection="1">
      <alignment vertical="center" wrapText="1"/>
    </xf>
    <xf numFmtId="0" fontId="26" fillId="11" borderId="42" xfId="0" applyFont="1" applyFill="1" applyBorder="1" applyAlignment="1" applyProtection="1">
      <alignment horizontal="left" vertical="center" wrapText="1"/>
    </xf>
    <xf numFmtId="0" fontId="24" fillId="4" borderId="42" xfId="0" applyFont="1" applyFill="1" applyBorder="1" applyAlignment="1" applyProtection="1">
      <alignment horizontal="left" vertical="center" wrapText="1"/>
    </xf>
    <xf numFmtId="0" fontId="24" fillId="3" borderId="42" xfId="0" applyFont="1" applyFill="1" applyBorder="1" applyAlignment="1" applyProtection="1">
      <alignment horizontal="left" vertical="center" wrapText="1"/>
    </xf>
    <xf numFmtId="4" fontId="24" fillId="5" borderId="42" xfId="0" applyNumberFormat="1" applyFont="1" applyFill="1" applyBorder="1" applyAlignment="1" applyProtection="1">
      <alignment horizontal="left" vertical="center" wrapText="1"/>
    </xf>
    <xf numFmtId="0" fontId="28" fillId="5" borderId="42" xfId="0" applyFont="1" applyFill="1" applyBorder="1" applyAlignment="1" applyProtection="1">
      <alignment horizontal="center" vertical="center" wrapText="1"/>
      <protection locked="0"/>
    </xf>
    <xf numFmtId="4" fontId="69" fillId="24" borderId="42" xfId="0" applyNumberFormat="1" applyFont="1" applyFill="1" applyBorder="1" applyAlignment="1" applyProtection="1">
      <alignment horizontal="center" vertical="center" wrapText="1"/>
    </xf>
    <xf numFmtId="0" fontId="33" fillId="7" borderId="42" xfId="0" applyFont="1" applyFill="1" applyBorder="1" applyAlignment="1" applyProtection="1">
      <alignment horizontal="left" vertical="center" wrapText="1"/>
    </xf>
    <xf numFmtId="0" fontId="26" fillId="3" borderId="42" xfId="0" applyFont="1" applyFill="1" applyBorder="1" applyAlignment="1" applyProtection="1">
      <alignment vertical="center" wrapText="1"/>
    </xf>
    <xf numFmtId="0" fontId="27" fillId="0" borderId="42" xfId="0" applyFont="1" applyFill="1" applyBorder="1" applyAlignment="1" applyProtection="1">
      <alignment horizontal="center" vertical="center" wrapText="1"/>
    </xf>
    <xf numFmtId="0" fontId="0" fillId="3" borderId="25" xfId="0" applyFont="1" applyFill="1" applyBorder="1" applyAlignment="1" applyProtection="1">
      <alignment horizontal="left" vertical="center" wrapText="1"/>
    </xf>
    <xf numFmtId="0" fontId="0" fillId="3" borderId="18" xfId="0" applyFont="1" applyFill="1" applyBorder="1" applyAlignment="1" applyProtection="1">
      <alignment horizontal="left" vertical="center" wrapText="1"/>
    </xf>
    <xf numFmtId="0" fontId="49" fillId="14" borderId="6" xfId="0" applyFont="1" applyFill="1" applyBorder="1" applyAlignment="1" applyProtection="1">
      <alignment horizontal="left" vertical="center" wrapText="1"/>
    </xf>
    <xf numFmtId="0" fontId="49" fillId="14" borderId="7" xfId="0" applyFont="1" applyFill="1" applyBorder="1" applyAlignment="1" applyProtection="1">
      <alignment horizontal="left" vertical="center" wrapText="1"/>
    </xf>
    <xf numFmtId="0" fontId="49" fillId="14" borderId="14" xfId="0" applyFont="1" applyFill="1" applyBorder="1" applyAlignment="1" applyProtection="1">
      <alignment horizontal="left" vertical="center" wrapText="1"/>
    </xf>
    <xf numFmtId="0" fontId="37" fillId="5" borderId="17" xfId="0" applyFont="1" applyFill="1" applyBorder="1" applyAlignment="1" applyProtection="1">
      <alignment horizontal="left" vertical="center" wrapText="1"/>
      <protection locked="0"/>
    </xf>
    <xf numFmtId="0" fontId="37" fillId="5" borderId="10" xfId="0" applyFont="1" applyFill="1" applyBorder="1" applyAlignment="1" applyProtection="1">
      <alignment horizontal="left" vertical="center" wrapText="1"/>
      <protection locked="0"/>
    </xf>
    <xf numFmtId="0" fontId="37" fillId="5" borderId="12" xfId="0" applyFont="1" applyFill="1" applyBorder="1" applyAlignment="1" applyProtection="1">
      <alignment horizontal="left" vertical="center" wrapText="1"/>
      <protection locked="0"/>
    </xf>
    <xf numFmtId="0" fontId="49" fillId="5" borderId="6" xfId="0" applyFont="1" applyFill="1" applyBorder="1" applyAlignment="1" applyProtection="1">
      <alignment horizontal="left" vertical="center" wrapText="1"/>
      <protection locked="0"/>
    </xf>
    <xf numFmtId="0" fontId="49" fillId="5" borderId="7" xfId="0" applyFont="1" applyFill="1" applyBorder="1" applyAlignment="1" applyProtection="1">
      <alignment horizontal="left" vertical="center" wrapText="1"/>
      <protection locked="0"/>
    </xf>
    <xf numFmtId="0" fontId="49" fillId="5" borderId="14" xfId="0" applyFont="1" applyFill="1" applyBorder="1" applyAlignment="1" applyProtection="1">
      <alignment horizontal="left" vertical="center" wrapText="1"/>
      <protection locked="0"/>
    </xf>
    <xf numFmtId="0" fontId="20" fillId="3" borderId="20" xfId="0" applyFont="1" applyFill="1" applyBorder="1" applyAlignment="1" applyProtection="1">
      <alignment horizontal="center" vertical="center" wrapText="1"/>
    </xf>
    <xf numFmtId="0" fontId="20" fillId="3" borderId="21" xfId="0" applyFont="1" applyFill="1" applyBorder="1" applyAlignment="1" applyProtection="1">
      <alignment horizontal="center" vertical="center" wrapText="1"/>
    </xf>
    <xf numFmtId="0" fontId="20" fillId="3" borderId="24" xfId="0" applyFont="1" applyFill="1" applyBorder="1" applyAlignment="1" applyProtection="1">
      <alignment horizontal="center" vertical="center" wrapText="1"/>
    </xf>
    <xf numFmtId="0" fontId="20" fillId="3" borderId="9" xfId="0" applyFont="1" applyFill="1" applyBorder="1" applyAlignment="1" applyProtection="1">
      <alignment horizontal="center" vertical="center" wrapText="1"/>
    </xf>
    <xf numFmtId="0" fontId="20" fillId="3" borderId="23" xfId="0" applyFont="1" applyFill="1" applyBorder="1" applyAlignment="1" applyProtection="1">
      <alignment horizontal="center" vertical="center" wrapText="1"/>
    </xf>
    <xf numFmtId="0" fontId="20" fillId="3" borderId="19" xfId="0" applyFont="1" applyFill="1" applyBorder="1" applyAlignment="1" applyProtection="1">
      <alignment horizontal="center" vertical="center" wrapText="1"/>
    </xf>
    <xf numFmtId="0" fontId="26" fillId="3" borderId="25" xfId="0" applyFont="1" applyFill="1" applyBorder="1" applyAlignment="1" applyProtection="1">
      <alignment horizontal="left" vertical="center" wrapText="1"/>
    </xf>
    <xf numFmtId="0" fontId="26" fillId="3" borderId="18" xfId="0" applyFont="1" applyFill="1" applyBorder="1" applyAlignment="1" applyProtection="1">
      <alignment horizontal="left" vertical="center" wrapText="1"/>
    </xf>
    <xf numFmtId="0" fontId="49" fillId="5" borderId="6" xfId="0" applyFont="1" applyFill="1" applyBorder="1" applyAlignment="1" applyProtection="1">
      <alignment vertical="center" wrapText="1"/>
      <protection locked="0"/>
    </xf>
    <xf numFmtId="0" fontId="49" fillId="5" borderId="7" xfId="0" applyFont="1" applyFill="1" applyBorder="1" applyAlignment="1" applyProtection="1">
      <alignment vertical="center" wrapText="1"/>
      <protection locked="0"/>
    </xf>
    <xf numFmtId="0" fontId="49" fillId="5" borderId="14" xfId="0" applyFont="1" applyFill="1" applyBorder="1" applyAlignment="1" applyProtection="1">
      <alignment vertical="center" wrapText="1"/>
      <protection locked="0"/>
    </xf>
    <xf numFmtId="0" fontId="0" fillId="5" borderId="26" xfId="0" applyFill="1" applyBorder="1" applyAlignment="1" applyProtection="1">
      <alignment horizontal="left" vertical="center" wrapText="1"/>
      <protection locked="0"/>
    </xf>
    <xf numFmtId="0" fontId="0" fillId="5" borderId="19" xfId="0" applyFill="1" applyBorder="1" applyAlignment="1" applyProtection="1">
      <alignment horizontal="left" vertical="center" wrapText="1"/>
      <protection locked="0"/>
    </xf>
    <xf numFmtId="0" fontId="26" fillId="3" borderId="37" xfId="0" applyFont="1" applyFill="1" applyBorder="1" applyAlignment="1" applyProtection="1">
      <alignment horizontal="left" vertical="center" wrapText="1"/>
    </xf>
    <xf numFmtId="0" fontId="0" fillId="5" borderId="26"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19" fillId="0" borderId="0" xfId="0" applyFont="1" applyAlignment="1" applyProtection="1">
      <alignment horizontal="left" vertical="center" wrapText="1"/>
    </xf>
    <xf numFmtId="0" fontId="24" fillId="5" borderId="28" xfId="0" applyFont="1" applyFill="1" applyBorder="1" applyAlignment="1" applyProtection="1">
      <alignment horizontal="left" vertical="center" wrapText="1"/>
    </xf>
    <xf numFmtId="0" fontId="24" fillId="5" borderId="30" xfId="0" applyFont="1" applyFill="1" applyBorder="1" applyAlignment="1" applyProtection="1">
      <alignment horizontal="left" vertical="center" wrapText="1"/>
    </xf>
    <xf numFmtId="0" fontId="31" fillId="0" borderId="2" xfId="0" applyFont="1" applyFill="1" applyBorder="1" applyAlignment="1" applyProtection="1">
      <alignment horizontal="center" vertical="center" wrapText="1"/>
    </xf>
    <xf numFmtId="0" fontId="27" fillId="0" borderId="20" xfId="0" applyFont="1" applyFill="1" applyBorder="1" applyAlignment="1" applyProtection="1">
      <alignment horizontal="center" vertical="center" wrapText="1"/>
    </xf>
    <xf numFmtId="0" fontId="27" fillId="0" borderId="29" xfId="0" applyFont="1" applyFill="1" applyBorder="1" applyAlignment="1" applyProtection="1">
      <alignment horizontal="center" vertical="center" wrapText="1"/>
    </xf>
    <xf numFmtId="0" fontId="50" fillId="14" borderId="6" xfId="0" applyFont="1" applyFill="1" applyBorder="1" applyAlignment="1" applyProtection="1">
      <alignment horizontal="left" vertical="center" wrapText="1"/>
    </xf>
    <xf numFmtId="0" fontId="50" fillId="14" borderId="7" xfId="0" applyFont="1" applyFill="1" applyBorder="1" applyAlignment="1" applyProtection="1">
      <alignment horizontal="left" vertical="center" wrapText="1"/>
    </xf>
    <xf numFmtId="0" fontId="50" fillId="14" borderId="14" xfId="0" applyFont="1" applyFill="1" applyBorder="1" applyAlignment="1" applyProtection="1">
      <alignment horizontal="left" vertical="center" wrapText="1"/>
    </xf>
    <xf numFmtId="0" fontId="26" fillId="3" borderId="38" xfId="0" applyFont="1" applyFill="1" applyBorder="1" applyAlignment="1" applyProtection="1">
      <alignment horizontal="left" vertical="center" wrapText="1"/>
    </xf>
    <xf numFmtId="0" fontId="0" fillId="5" borderId="39" xfId="0"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wrapText="1"/>
      <protection locked="0"/>
    </xf>
    <xf numFmtId="0" fontId="26" fillId="0" borderId="1" xfId="0" applyFont="1" applyBorder="1" applyAlignment="1" applyProtection="1">
      <alignment horizontal="left"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11" borderId="25" xfId="0" applyFont="1" applyFill="1" applyBorder="1" applyAlignment="1" applyProtection="1">
      <alignment horizontal="left" vertical="center" wrapText="1"/>
    </xf>
    <xf numFmtId="0" fontId="26" fillId="11" borderId="18" xfId="0" applyFont="1" applyFill="1" applyBorder="1" applyAlignment="1" applyProtection="1">
      <alignment horizontal="left" vertical="center" wrapText="1"/>
    </xf>
    <xf numFmtId="0" fontId="35" fillId="5" borderId="26"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6" fillId="13" borderId="38" xfId="0" applyFont="1" applyFill="1" applyBorder="1" applyAlignment="1" applyProtection="1">
      <alignment horizontal="left" vertical="center" wrapText="1"/>
    </xf>
    <xf numFmtId="0" fontId="26" fillId="13" borderId="18" xfId="0" applyFont="1" applyFill="1" applyBorder="1" applyAlignment="1" applyProtection="1">
      <alignment horizontal="left" vertical="center" wrapText="1"/>
    </xf>
    <xf numFmtId="0" fontId="0" fillId="0" borderId="0" xfId="0" applyFont="1" applyAlignment="1" applyProtection="1">
      <alignment horizontal="left" vertical="center" wrapText="1"/>
    </xf>
    <xf numFmtId="0" fontId="49" fillId="5" borderId="6" xfId="0" applyFont="1" applyFill="1" applyBorder="1" applyAlignment="1" applyProtection="1">
      <alignment horizontal="left" vertical="center"/>
      <protection locked="0"/>
    </xf>
    <xf numFmtId="0" fontId="49" fillId="5" borderId="7" xfId="0" applyFont="1" applyFill="1" applyBorder="1" applyAlignment="1" applyProtection="1">
      <alignment horizontal="left" vertical="center"/>
      <protection locked="0"/>
    </xf>
    <xf numFmtId="0" fontId="49" fillId="5" borderId="14" xfId="0" applyFont="1" applyFill="1" applyBorder="1" applyAlignment="1" applyProtection="1">
      <alignment horizontal="left" vertical="center"/>
      <protection locked="0"/>
    </xf>
    <xf numFmtId="0" fontId="31" fillId="0" borderId="1"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27" fillId="0" borderId="28" xfId="0" applyFont="1" applyFill="1" applyBorder="1" applyAlignment="1" applyProtection="1">
      <alignment horizontal="center" vertical="center" wrapText="1"/>
    </xf>
    <xf numFmtId="0" fontId="27" fillId="0" borderId="30" xfId="0" applyFont="1" applyFill="1" applyBorder="1" applyAlignment="1" applyProtection="1">
      <alignment horizontal="center" vertical="center" wrapText="1"/>
    </xf>
    <xf numFmtId="0" fontId="39" fillId="0" borderId="27" xfId="0" applyFont="1" applyBorder="1" applyAlignment="1" applyProtection="1">
      <alignment horizontal="left" vertical="center" wrapText="1"/>
    </xf>
    <xf numFmtId="0" fontId="39" fillId="0" borderId="7" xfId="0" applyFont="1" applyBorder="1" applyAlignment="1" applyProtection="1">
      <alignment horizontal="left" vertical="center" wrapText="1"/>
    </xf>
    <xf numFmtId="0" fontId="39" fillId="0" borderId="34" xfId="0" applyFont="1" applyBorder="1" applyAlignment="1" applyProtection="1">
      <alignment horizontal="left" vertical="center" wrapText="1"/>
    </xf>
    <xf numFmtId="0" fontId="0" fillId="5" borderId="26" xfId="0" applyFont="1" applyFill="1" applyBorder="1" applyAlignment="1" applyProtection="1">
      <alignment horizontal="center" vertical="center" wrapText="1"/>
      <protection locked="0"/>
    </xf>
    <xf numFmtId="0" fontId="26" fillId="5" borderId="40" xfId="0" applyFont="1" applyFill="1" applyBorder="1" applyAlignment="1" applyProtection="1">
      <alignment horizontal="left" vertical="center" wrapText="1"/>
    </xf>
    <xf numFmtId="0" fontId="26" fillId="5" borderId="10" xfId="0" applyFont="1" applyFill="1" applyBorder="1" applyAlignment="1" applyProtection="1">
      <alignment horizontal="left" vertical="center" wrapText="1"/>
    </xf>
    <xf numFmtId="0" fontId="26" fillId="5" borderId="12" xfId="0" applyFont="1" applyFill="1" applyBorder="1" applyAlignment="1" applyProtection="1">
      <alignment horizontal="left" vertical="center" wrapText="1"/>
    </xf>
    <xf numFmtId="0" fontId="26" fillId="13" borderId="25" xfId="0" applyFont="1" applyFill="1" applyBorder="1" applyAlignment="1" applyProtection="1">
      <alignment horizontal="left" vertical="center" wrapText="1"/>
    </xf>
    <xf numFmtId="0" fontId="50" fillId="14" borderId="6" xfId="0" applyFont="1" applyFill="1" applyBorder="1" applyAlignment="1" applyProtection="1">
      <alignment horizontal="left" vertical="center"/>
    </xf>
    <xf numFmtId="0" fontId="50" fillId="14" borderId="7" xfId="0" applyFont="1" applyFill="1" applyBorder="1" applyAlignment="1" applyProtection="1">
      <alignment horizontal="left" vertical="center"/>
    </xf>
    <xf numFmtId="0" fontId="50" fillId="14" borderId="14" xfId="0" applyFont="1" applyFill="1" applyBorder="1" applyAlignment="1" applyProtection="1">
      <alignment horizontal="left" vertical="center"/>
    </xf>
    <xf numFmtId="0" fontId="19" fillId="0" borderId="0" xfId="0" applyFont="1" applyAlignment="1" applyProtection="1">
      <alignment horizontal="left" vertical="center" wrapText="1"/>
      <protection locked="0"/>
    </xf>
    <xf numFmtId="0" fontId="24" fillId="5" borderId="28" xfId="0" applyFont="1" applyFill="1" applyBorder="1" applyAlignment="1">
      <alignment horizontal="left" vertical="center" wrapText="1"/>
    </xf>
    <xf numFmtId="0" fontId="24" fillId="5" borderId="30" xfId="0" applyFont="1" applyFill="1" applyBorder="1" applyAlignment="1">
      <alignment horizontal="left" vertical="center" wrapText="1"/>
    </xf>
    <xf numFmtId="0" fontId="51" fillId="3" borderId="1" xfId="0" applyFont="1" applyFill="1" applyBorder="1" applyAlignment="1" applyProtection="1">
      <alignment horizontal="left" vertical="center" wrapText="1"/>
      <protection locked="0"/>
    </xf>
    <xf numFmtId="0" fontId="51" fillId="3" borderId="2" xfId="0" applyFont="1" applyFill="1" applyBorder="1" applyAlignment="1" applyProtection="1">
      <alignment horizontal="left" vertical="center" wrapText="1"/>
      <protection locked="0"/>
    </xf>
    <xf numFmtId="0" fontId="51" fillId="3" borderId="3" xfId="0" applyFont="1" applyFill="1" applyBorder="1" applyAlignment="1" applyProtection="1">
      <alignment horizontal="left" vertical="center" wrapText="1"/>
      <protection locked="0"/>
    </xf>
    <xf numFmtId="0" fontId="0" fillId="3" borderId="25" xfId="0" applyFont="1" applyFill="1" applyBorder="1" applyAlignment="1" applyProtection="1">
      <alignment horizontal="left" vertical="center" wrapText="1"/>
      <protection locked="0"/>
    </xf>
    <xf numFmtId="0" fontId="0" fillId="3" borderId="18" xfId="0" applyFont="1" applyFill="1" applyBorder="1" applyAlignment="1" applyProtection="1">
      <alignment horizontal="left" vertical="center" wrapText="1"/>
      <protection locked="0"/>
    </xf>
    <xf numFmtId="0" fontId="49" fillId="5" borderId="43" xfId="0" applyFont="1" applyFill="1" applyBorder="1" applyAlignment="1" applyProtection="1">
      <alignment horizontal="left" vertical="center" wrapText="1"/>
      <protection locked="0"/>
    </xf>
    <xf numFmtId="0" fontId="49" fillId="5" borderId="31" xfId="0" applyFont="1" applyFill="1" applyBorder="1" applyAlignment="1" applyProtection="1">
      <alignment horizontal="left" vertical="center" wrapText="1"/>
      <protection locked="0"/>
    </xf>
    <xf numFmtId="0" fontId="49" fillId="5" borderId="33" xfId="0" applyFont="1" applyFill="1" applyBorder="1" applyAlignment="1" applyProtection="1">
      <alignment horizontal="left" vertical="center" wrapText="1"/>
      <protection locked="0"/>
    </xf>
    <xf numFmtId="0" fontId="20" fillId="3" borderId="20"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20" fillId="3" borderId="24" xfId="0" applyFont="1" applyFill="1" applyBorder="1" applyAlignment="1" applyProtection="1">
      <alignment horizontal="center" vertical="center" wrapText="1"/>
      <protection locked="0"/>
    </xf>
    <xf numFmtId="0" fontId="20" fillId="3" borderId="9" xfId="0" applyFont="1" applyFill="1" applyBorder="1" applyAlignment="1" applyProtection="1">
      <alignment horizontal="center" vertical="center" wrapText="1"/>
      <protection locked="0"/>
    </xf>
    <xf numFmtId="0" fontId="20" fillId="3" borderId="23" xfId="0" applyFont="1" applyFill="1" applyBorder="1" applyAlignment="1" applyProtection="1">
      <alignment horizontal="center" vertical="center" wrapText="1"/>
      <protection locked="0"/>
    </xf>
    <xf numFmtId="0" fontId="20" fillId="3" borderId="19" xfId="0" applyFont="1" applyFill="1" applyBorder="1" applyAlignment="1" applyProtection="1">
      <alignment horizontal="center" vertical="center" wrapText="1"/>
      <protection locked="0"/>
    </xf>
    <xf numFmtId="0" fontId="26" fillId="3" borderId="25" xfId="0" applyFont="1" applyFill="1" applyBorder="1" applyAlignment="1" applyProtection="1">
      <alignment horizontal="left" vertical="center" wrapText="1"/>
      <protection locked="0"/>
    </xf>
    <xf numFmtId="0" fontId="26" fillId="3" borderId="18" xfId="0" applyFont="1" applyFill="1" applyBorder="1" applyAlignment="1" applyProtection="1">
      <alignment horizontal="left" vertical="center" wrapText="1"/>
      <protection locked="0"/>
    </xf>
    <xf numFmtId="0" fontId="24" fillId="5" borderId="28" xfId="0" applyFont="1" applyFill="1" applyBorder="1" applyAlignment="1" applyProtection="1">
      <alignment horizontal="left" vertical="center" wrapText="1"/>
      <protection locked="0"/>
    </xf>
    <xf numFmtId="0" fontId="27" fillId="0" borderId="20" xfId="0" applyFont="1" applyFill="1" applyBorder="1" applyAlignment="1" applyProtection="1">
      <alignment horizontal="center" vertical="center" wrapText="1"/>
      <protection locked="0"/>
    </xf>
    <xf numFmtId="0" fontId="27" fillId="0" borderId="29" xfId="0" applyFont="1" applyFill="1" applyBorder="1" applyAlignment="1" applyProtection="1">
      <alignment horizontal="center" vertical="center" wrapText="1"/>
      <protection locked="0"/>
    </xf>
    <xf numFmtId="0" fontId="24" fillId="5" borderId="30" xfId="0" applyFont="1" applyFill="1" applyBorder="1" applyAlignment="1" applyProtection="1">
      <alignment horizontal="left" vertical="center" wrapText="1"/>
      <protection locked="0"/>
    </xf>
    <xf numFmtId="0" fontId="26" fillId="3" borderId="37" xfId="0" applyFont="1" applyFill="1" applyBorder="1" applyAlignment="1" applyProtection="1">
      <alignment horizontal="left" vertical="center" wrapText="1"/>
      <protection locked="0"/>
    </xf>
    <xf numFmtId="0" fontId="50" fillId="14" borderId="6" xfId="0" applyFont="1" applyFill="1" applyBorder="1" applyAlignment="1" applyProtection="1">
      <alignment horizontal="left" vertical="center" wrapText="1"/>
      <protection locked="0"/>
    </xf>
    <xf numFmtId="0" fontId="50" fillId="14" borderId="7" xfId="0" applyFont="1" applyFill="1" applyBorder="1" applyAlignment="1" applyProtection="1">
      <alignment horizontal="left" vertical="center" wrapText="1"/>
      <protection locked="0"/>
    </xf>
    <xf numFmtId="0" fontId="50" fillId="14" borderId="14" xfId="0" applyFont="1" applyFill="1" applyBorder="1" applyAlignment="1" applyProtection="1">
      <alignment horizontal="left" vertical="center" wrapText="1"/>
      <protection locked="0"/>
    </xf>
    <xf numFmtId="0" fontId="49" fillId="14" borderId="6" xfId="0" applyFont="1" applyFill="1" applyBorder="1" applyAlignment="1" applyProtection="1">
      <alignment horizontal="left" vertical="center" wrapText="1"/>
      <protection locked="0"/>
    </xf>
    <xf numFmtId="0" fontId="49" fillId="14" borderId="7" xfId="0" applyFont="1" applyFill="1" applyBorder="1" applyAlignment="1" applyProtection="1">
      <alignment horizontal="left" vertical="center" wrapText="1"/>
      <protection locked="0"/>
    </xf>
    <xf numFmtId="0" fontId="49" fillId="14" borderId="14" xfId="0" applyFont="1" applyFill="1" applyBorder="1" applyAlignment="1" applyProtection="1">
      <alignment horizontal="left" vertical="center" wrapText="1"/>
      <protection locked="0"/>
    </xf>
  </cellXfs>
  <cellStyles count="5">
    <cellStyle name="Lien hypertexte" xfId="3" builtinId="8"/>
    <cellStyle name="Milliers" xfId="2" builtinId="3"/>
    <cellStyle name="Normal" xfId="0" builtinId="0"/>
    <cellStyle name="Normal 2" xfId="4" xr:uid="{00000000-0005-0000-0000-000003000000}"/>
    <cellStyle name="Pourcentage" xfId="1" builtinId="5"/>
  </cellStyles>
  <dxfs count="0"/>
  <tableStyles count="0" defaultTableStyle="TableStyleMedium2" defaultPivotStyle="PivotStyleLight16"/>
  <colors>
    <mruColors>
      <color rgb="FF80A0B8"/>
      <color rgb="FFB1A0C7"/>
      <color rgb="FFD9E1F2"/>
      <color rgb="FFE4DFEC"/>
      <color rgb="FF12487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44450</xdr:rowOff>
    </xdr:from>
    <xdr:to>
      <xdr:col>1</xdr:col>
      <xdr:colOff>1209674</xdr:colOff>
      <xdr:row>2</xdr:row>
      <xdr:rowOff>45664</xdr:rowOff>
    </xdr:to>
    <xdr:pic>
      <xdr:nvPicPr>
        <xdr:cNvPr id="4" name="Picture 3" descr="https://tgf.sharepoint.com/sites/inside/Communications%20%20Templates%20%20Logos%20Library/TheGlobalFundLogo_Color_en.jpg">
          <a:extLst>
            <a:ext uri="{FF2B5EF4-FFF2-40B4-BE49-F238E27FC236}">
              <a16:creationId xmlns:a16="http://schemas.microsoft.com/office/drawing/2014/main" id="{E3C25EB7-D164-4F6F-BAED-3433BA1EB6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22250"/>
          <a:ext cx="2397124" cy="293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hivpreventioncoalition.unaids.org/resource/condom-needs-and-resource-requirement-estimation-tool/" TargetMode="External"/><Relationship Id="rId2" Type="http://schemas.openxmlformats.org/officeDocument/2006/relationships/hyperlink" Target="https://hivpreventioncoalition.unaids.org/resource/condom-needs-and-resource-requirement-estimation-tool/" TargetMode="External"/><Relationship Id="rId1" Type="http://schemas.openxmlformats.org/officeDocument/2006/relationships/hyperlink" Target="https://hivpreventioncoalition.unaids.org/resource/condom-needs-and-resource-requirement-estimation-too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hivpreventioncoalition.unaids.org/resource/condom-needs-and-resource-requirement-estimation-tool/" TargetMode="External"/><Relationship Id="rId1" Type="http://schemas.openxmlformats.org/officeDocument/2006/relationships/hyperlink" Target="http://apps.who.int/iris/bitstream/10665/177992/1/9789241508995_eng.pdf?ua=1&amp;ua=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B1A0C7"/>
  </sheetPr>
  <dimension ref="A2:H10"/>
  <sheetViews>
    <sheetView topLeftCell="A103" workbookViewId="0">
      <selection activeCell="K107" sqref="K107"/>
    </sheetView>
  </sheetViews>
  <sheetFormatPr baseColWidth="10" defaultColWidth="8.58203125" defaultRowHeight="14" x14ac:dyDescent="0.3"/>
  <cols>
    <col min="1" max="1" width="17.08203125" style="111" customWidth="1"/>
    <col min="2" max="2" width="27.08203125" style="111" customWidth="1"/>
    <col min="3" max="16384" width="8.58203125" style="111"/>
  </cols>
  <sheetData>
    <row r="2" spans="1:8" ht="23" x14ac:dyDescent="0.5">
      <c r="C2" s="233" t="s">
        <v>719</v>
      </c>
      <c r="H2" s="234" t="s">
        <v>1144</v>
      </c>
    </row>
    <row r="5" spans="1:8" ht="34.5" customHeight="1" x14ac:dyDescent="0.3">
      <c r="A5" s="298" t="str">
        <f ca="1">Translations!G106</f>
        <v>Veuillez lire attentivement la feuille Instructions avant de compléter le tableau d'analyse des déficits programmatiques.</v>
      </c>
      <c r="B5" s="298"/>
      <c r="C5" s="298"/>
    </row>
    <row r="6" spans="1:8" ht="35.25" customHeight="1" x14ac:dyDescent="0.3">
      <c r="A6" s="298" t="str">
        <f ca="1">Translations!G107</f>
        <v>Pour remplir cette feuille de présentation, sélectionnez un lieu géographique et un type de candidat dans les listes déroulantes.</v>
      </c>
      <c r="B6" s="298"/>
      <c r="C6" s="298"/>
    </row>
    <row r="8" spans="1:8" ht="14.5" x14ac:dyDescent="0.35">
      <c r="A8" s="112" t="str">
        <f ca="1">Translations!G108</f>
        <v>Candidat</v>
      </c>
      <c r="B8" s="114" t="s">
        <v>161</v>
      </c>
    </row>
    <row r="9" spans="1:8" ht="14.5" x14ac:dyDescent="0.35">
      <c r="A9" s="112" t="str">
        <f ca="1">Translations!G109</f>
        <v>Composante</v>
      </c>
      <c r="B9" s="235" t="str">
        <f ca="1">Translations!A3</f>
        <v>VIH/sida</v>
      </c>
    </row>
    <row r="10" spans="1:8" ht="14.5" x14ac:dyDescent="0.35">
      <c r="A10" s="112" t="str">
        <f ca="1">Translations!G110</f>
        <v>Type de candidat</v>
      </c>
      <c r="B10" s="114" t="s">
        <v>317</v>
      </c>
    </row>
  </sheetData>
  <sheetProtection password="E205" sheet="1" objects="1" scenarios="1"/>
  <mergeCells count="2">
    <mergeCell ref="A5:C5"/>
    <mergeCell ref="A6:C6"/>
  </mergeCells>
  <dataValidations count="1">
    <dataValidation type="list" allowBlank="1" showInputMessage="1" showErrorMessage="1" sqref="B10" xr:uid="{00000000-0002-0000-0000-000000000000}">
      <formula1>ApplicantType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'HIV dropdown'!$Q$3:$Q$211</xm:f>
          </x14:formula1>
          <xm:sqref>B8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Z529"/>
  <sheetViews>
    <sheetView zoomScale="80" zoomScaleNormal="80" workbookViewId="0"/>
  </sheetViews>
  <sheetFormatPr baseColWidth="10" defaultColWidth="9" defaultRowHeight="14" x14ac:dyDescent="0.3"/>
  <cols>
    <col min="1" max="1" width="19.58203125" style="8" customWidth="1"/>
    <col min="2" max="2" width="21.08203125" style="8" customWidth="1"/>
    <col min="3" max="3" width="33.5" style="8" customWidth="1"/>
    <col min="4" max="4" width="19.58203125" style="17" customWidth="1"/>
    <col min="5" max="5" width="46.5" style="8" customWidth="1"/>
    <col min="6" max="6" width="16.08203125" style="15" customWidth="1"/>
    <col min="7" max="7" width="19.58203125" style="8" customWidth="1"/>
    <col min="8" max="8" width="70.08203125" style="8" customWidth="1"/>
    <col min="9" max="9" width="96.83203125" style="17" customWidth="1"/>
    <col min="10" max="10" width="83.08203125" style="17" customWidth="1"/>
    <col min="11" max="11" width="19.58203125" style="8" customWidth="1"/>
    <col min="12" max="16384" width="9" style="8"/>
  </cols>
  <sheetData>
    <row r="1" spans="1:35" x14ac:dyDescent="0.3">
      <c r="A1" s="9" t="s">
        <v>22</v>
      </c>
      <c r="B1" s="10"/>
      <c r="C1" s="10">
        <f>IF(Language="English",0,IF(Language="French",1,IF(Language="Spanish",2,IF(Language="Russian",3))))</f>
        <v>1</v>
      </c>
      <c r="D1" s="10"/>
      <c r="E1" s="10"/>
      <c r="F1" s="14"/>
      <c r="G1" s="11" t="s">
        <v>26</v>
      </c>
      <c r="H1" s="12"/>
      <c r="I1" s="18"/>
      <c r="J1" s="18"/>
      <c r="K1" s="12"/>
    </row>
    <row r="2" spans="1:35" x14ac:dyDescent="0.3">
      <c r="A2" s="9" t="s">
        <v>27</v>
      </c>
      <c r="B2" s="9" t="s">
        <v>23</v>
      </c>
      <c r="C2" s="85" t="s">
        <v>28</v>
      </c>
      <c r="D2" s="85" t="s">
        <v>25</v>
      </c>
      <c r="E2" s="86"/>
      <c r="F2" s="14"/>
      <c r="G2" s="13" t="s">
        <v>27</v>
      </c>
      <c r="H2" s="9" t="s">
        <v>23</v>
      </c>
      <c r="I2" s="85" t="s">
        <v>28</v>
      </c>
      <c r="J2" s="85" t="s">
        <v>25</v>
      </c>
      <c r="K2" s="85"/>
    </row>
    <row r="3" spans="1:35" ht="14.5" x14ac:dyDescent="0.3">
      <c r="A3" s="8" t="str">
        <f t="shared" ref="A3:A23" ca="1" si="0">OFFSET($B3,0,LangOffset,1,1)</f>
        <v>VIH/sida</v>
      </c>
      <c r="B3" s="17" t="s">
        <v>0</v>
      </c>
      <c r="C3" s="17" t="s">
        <v>390</v>
      </c>
      <c r="D3" s="17" t="s">
        <v>44</v>
      </c>
      <c r="E3" s="17"/>
      <c r="F3" s="17"/>
      <c r="G3" s="17" t="str">
        <f t="shared" ref="G3:G112" ca="1" si="1">OFFSET($H3,0,LangOffset,1,1)</f>
        <v xml:space="preserve">INSTRUCTIONS – Modules prioritaires pour le VIH </v>
      </c>
      <c r="H3" s="17" t="s">
        <v>59</v>
      </c>
      <c r="I3" s="17" t="s">
        <v>397</v>
      </c>
      <c r="J3" s="17" t="s">
        <v>427</v>
      </c>
      <c r="K3" s="17"/>
    </row>
    <row r="4" spans="1:35" ht="14.5" x14ac:dyDescent="0.3">
      <c r="A4" s="8" t="str">
        <f t="shared" ca="1" si="0"/>
        <v>Tableau 1 des déficits programmatiques pour le VIH/sida (par intervention prioritaire)</v>
      </c>
      <c r="B4" s="17" t="s">
        <v>21</v>
      </c>
      <c r="C4" s="17" t="s">
        <v>391</v>
      </c>
      <c r="D4" s="203" t="s">
        <v>635</v>
      </c>
      <c r="E4" s="17"/>
      <c r="F4" s="17"/>
      <c r="G4" s="17">
        <f t="shared" ca="1" si="1"/>
        <v>0</v>
      </c>
      <c r="H4" s="17"/>
      <c r="K4" s="17"/>
    </row>
    <row r="5" spans="1:35" ht="409.5" x14ac:dyDescent="0.3">
      <c r="A5" s="8" t="str">
        <f t="shared" ca="1" si="0"/>
        <v>Tableau 2 des déficits programmatiques pour le VIH/sida (par intervention prioritaire)</v>
      </c>
      <c r="B5" s="17" t="s">
        <v>16</v>
      </c>
      <c r="C5" s="17" t="s">
        <v>392</v>
      </c>
      <c r="D5" s="203" t="s">
        <v>636</v>
      </c>
      <c r="E5" s="17"/>
      <c r="F5" s="17"/>
      <c r="G5" s="17" t="str">
        <f t="shared" ca="1" si="1"/>
        <v>Merci de bien vouloir remplir des tableaux séparés pour les modules prioritaires 3 à 6 dans la demande de financement relative au VIH. La liste suivante précise les modules possibles et les interventions correspondantes. Ne remplissez des tableaux que pour les interventions/indicateurs pouvant faire l'objet d'un soutien et pour lesquels un financement est demandé. Consultez le Manuel du cadre modulaire pour obtenir la liste de l'ensemble des modules et des interventions, avec leur description et leurs indicateurs respectifs. 
Pour obtenir des indications au moment de remplir ce tableau des déficits programmatiques, reportez-vous à la note d'information du Fonds mondial sur le VIH, dans laquelle vous trouverez des références aux documents d'orientation techniques appropriés. 
Modules prioritaires :
- Traitement, prise en charge et soutien
          -&gt; Prestation de services et prise en charge différenciées pour les traitements antirétroviraux
- TB/VIH
          -&gt; Dépistage, test et diagnostic
          -&gt; Traitement
          -&gt; Traitement préventif de la tuberculose (TPT)
- PTME
          -&gt; Prévention de la transmission verticale du VIH
- Programmes de prévention destinés aux populations clés*
          -&gt; Ensemble défini de services 
          -&gt; Prophylaxie préexposition (PrEP)
- Programmes de prévention destinés aux personnes qui s'injectent des drogues et à leurs partenaires
          -&gt; Programmes liés aux aiguilles et de seringues
          -&gt; Traitements de substitution aux opiacés et autres traitements de la dépendance pour les usagers de drogues injectables
- Prévention 
          -&gt; Circoncision médicale masculine volontaire
          -&gt; Programmmation nationale des préservatifs - toutes les populations prioritaires
- Services de dépistage différenciés du VIH**</v>
      </c>
      <c r="H5" s="205" t="s">
        <v>843</v>
      </c>
      <c r="I5" s="258" t="s">
        <v>860</v>
      </c>
      <c r="J5" s="226" t="s">
        <v>861</v>
      </c>
      <c r="K5" s="17"/>
    </row>
    <row r="6" spans="1:35" ht="158" x14ac:dyDescent="0.3">
      <c r="A6" s="8" t="str">
        <f t="shared" ca="1" si="0"/>
        <v>Tableau 3 des déficits programmatiques pour le VIH/sida (par intervention prioritaire)</v>
      </c>
      <c r="B6" s="17" t="s">
        <v>17</v>
      </c>
      <c r="C6" s="17" t="s">
        <v>393</v>
      </c>
      <c r="D6" s="203" t="s">
        <v>637</v>
      </c>
      <c r="E6" s="17"/>
      <c r="F6" s="17"/>
      <c r="G6" s="17" t="str">
        <f t="shared" ca="1" si="1"/>
        <v>* Ces modules concernent les populations clés et vulnérables suivantes : les hommes qui ont des rapports sexuels avec d'autres hommes; les professionnel(le)s du sexe et leurs clients; les personnes transgenres ; personnes qui s'injectent des drogues et leurs partenaires  ; les personnes incarcérées ou se trouvant dans d'autres lieux fermés; les adolescentes et les jeunes femmes dans des contextes à forte prévalence;  les hommes dans des contextes à forte prévalence; les autres populations vulnérables.
** Ce module couvre les populations suivantes:  les hommes qui ont des rapports sexuels avec d'autres hommes; les professionnel(le)s du sexe et leurs clients ; les personnes transgenres; les personnes qui s'injectent des drogues et leurs partenaires ; les personnes incarcérées ou se trouvant dans d'autres lieux fermés ; les adolescentes et les jeunes femmes dans des contextes à forte prévalence;  les hommes dans des contextes à forte prévalence; les partenaires des personnes vivant avec le VIH et les autres populations vulnérables.</v>
      </c>
      <c r="H6" s="205" t="s">
        <v>718</v>
      </c>
      <c r="I6" s="258" t="s">
        <v>830</v>
      </c>
      <c r="J6" s="246" t="s">
        <v>741</v>
      </c>
      <c r="K6" s="17"/>
    </row>
    <row r="7" spans="1:35" ht="409.5" x14ac:dyDescent="0.3">
      <c r="A7" s="8" t="str">
        <f t="shared" ca="1" si="0"/>
        <v>Tableau 4 des déficits programmatiques pour le VIH/sida (par intervention prioritaire)</v>
      </c>
      <c r="B7" s="17" t="s">
        <v>18</v>
      </c>
      <c r="C7" s="17" t="s">
        <v>394</v>
      </c>
      <c r="D7" s="203" t="s">
        <v>638</v>
      </c>
      <c r="E7" s="17"/>
      <c r="F7" s="17"/>
      <c r="G7" s="17" t="str">
        <f t="shared" ca="1" si="1"/>
        <v xml:space="preserve">Pour commencer le remplissage de chaque tableau sous l'onglet "HIV Tables" , précisez le module/intervention prioritaire souhaité en le sélectionnant dans la liste déroulante qui se trouve à côté de la cellule « Module prioritaire ». L'indicateur de couverture correspondant s'affiche alors automatiquement. Des informations doivent être saisies dans les cellules vides avec fond blanc. Les cellules avec fond violet se rempliront alors automatiquement.
Après avoir sélectionné le module/l'intervention, précisez la population cible dans la liste déroulante prévue à côté de la cellule « Population cible ».
Pour les modules portant sur la prévention, complétez un tableau d'analyse des déficits distinct pour chacune des populations clés ciblées par le programme, sauf pour le tableau des déficits des préservatifs. Pour ce qui est des traitements antirétroviraux, nous vous encourageons à remplir des tableaux distincts pour les adultes et pour les enfants, mais il est également possible de ne remplir qu'un seul tableau agrégé.
La plupart des tableaux doivent être remplis dans l'onglet « HIV Tables » ; cependant, vous trouverez des tableaux adaptés pour la circoncision masculine, la PrEP, les programmes concernant les distributions de préservatifs, de seringues et d'aiguilles dans des onglets distincts. Dans ces tableaux, la rangée du module prioritaire a été préremplie. Veuillez noter que seul un tableau doit être complété pour les populations prioritaires. Des tableaux séparés par population ne sont pas nécessaires.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 Notez que l'intervention conjointe de lutte contre la tuberculose et le VIH est associée à plusieurs indicateurs de couverture, ce qui impose de remplir des tableaux distincts. Souvenez-vous que vous ne devez remplir que les tableaux des modules prioritaires 3 à 6. </v>
      </c>
      <c r="H7" s="205" t="s">
        <v>663</v>
      </c>
      <c r="I7" s="259" t="s">
        <v>812</v>
      </c>
      <c r="J7" s="247" t="s">
        <v>811</v>
      </c>
      <c r="K7" s="17"/>
    </row>
    <row r="8" spans="1:35" ht="86.5" x14ac:dyDescent="0.3">
      <c r="A8" s="8" t="str">
        <f t="shared" ca="1" si="0"/>
        <v>Tableau 5 des déficits programmatiques pour le VIH/sida (par intervention prioritaire)</v>
      </c>
      <c r="B8" s="17" t="s">
        <v>29</v>
      </c>
      <c r="C8" s="17" t="s">
        <v>395</v>
      </c>
      <c r="D8" s="203" t="s">
        <v>639</v>
      </c>
      <c r="E8" s="17"/>
      <c r="F8" s="17"/>
      <c r="G8" s="17" t="str">
        <f t="shared" ca="1" si="1"/>
        <v>Dans les cas où les indicateurs utilisés par le pays sont formulés différemment de ce qui est inclus dans les tableaux des déficits programmatiques (mais que la mesure est identique), veuillez inclure la définition du pays dans la section commentaires.
La feuille « Blank table » contient un tableau vierge qui pourra être utilisé si le nombre de tableaux fournis dans le classeur Excel est insuffisant ou si le candidat souhaite soumettre un tableau pour un module/une intervention/ un indicateur qui n'apparaît pas dans les instructions ci-dessous.</v>
      </c>
      <c r="H8" s="223" t="s">
        <v>717</v>
      </c>
      <c r="I8" s="260" t="s">
        <v>788</v>
      </c>
      <c r="J8" s="246" t="s">
        <v>742</v>
      </c>
      <c r="K8" s="17"/>
    </row>
    <row r="9" spans="1:35" ht="14.5" x14ac:dyDescent="0.3">
      <c r="A9" s="8" t="str">
        <f t="shared" ca="1" si="0"/>
        <v>Tableau 6 des déficits programmatiques pour le VIH/sida (par intervention prioritaire)</v>
      </c>
      <c r="B9" s="17" t="s">
        <v>19</v>
      </c>
      <c r="C9" s="17" t="s">
        <v>396</v>
      </c>
      <c r="D9" s="203" t="s">
        <v>640</v>
      </c>
      <c r="E9" s="17"/>
      <c r="F9" s="17"/>
      <c r="G9" s="17"/>
      <c r="H9" s="17" t="s">
        <v>105</v>
      </c>
      <c r="I9" s="202" t="s">
        <v>805</v>
      </c>
      <c r="J9" s="17" t="s">
        <v>806</v>
      </c>
      <c r="K9" s="17"/>
    </row>
    <row r="10" spans="1:35" ht="29" x14ac:dyDescent="0.3">
      <c r="A10" s="207" t="str">
        <f t="shared" ca="1" si="0"/>
        <v>Module prioritaire</v>
      </c>
      <c r="B10" s="203" t="s">
        <v>30</v>
      </c>
      <c r="C10" s="203" t="s">
        <v>524</v>
      </c>
      <c r="D10" s="203" t="s">
        <v>400</v>
      </c>
      <c r="E10" s="203"/>
      <c r="F10" s="203"/>
      <c r="G10" s="203" t="str">
        <f t="shared" ca="1" si="1"/>
        <v>Traitement, prise en charge et soutien - Prestation de services et prise en charge différenciées pour les traitements antirétroviraux (remplir des tableaux distincts pour les adultes et pour les enfants)</v>
      </c>
      <c r="H10" s="210" t="s">
        <v>618</v>
      </c>
      <c r="I10" s="258" t="s">
        <v>789</v>
      </c>
      <c r="J10" s="226" t="s">
        <v>743</v>
      </c>
      <c r="K10" s="203"/>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row>
    <row r="11" spans="1:35" ht="14.5" x14ac:dyDescent="0.3">
      <c r="A11" s="207" t="str">
        <f t="shared" ca="1" si="0"/>
        <v>Indicateur de couverture sélectionné</v>
      </c>
      <c r="B11" s="203" t="s">
        <v>1</v>
      </c>
      <c r="C11" s="203" t="s">
        <v>525</v>
      </c>
      <c r="D11" s="203" t="s">
        <v>46</v>
      </c>
      <c r="E11" s="203"/>
      <c r="F11" s="203"/>
      <c r="G11" s="203" t="str">
        <f t="shared" ca="1" si="1"/>
        <v>Indicateur de couverture : 
Pourcentage de personnes vivant avec le VIH bénéficiant actuellement d'un traitement antirétroviral</v>
      </c>
      <c r="H11" s="203" t="s">
        <v>344</v>
      </c>
      <c r="I11" s="208" t="s">
        <v>526</v>
      </c>
      <c r="J11" s="203" t="s">
        <v>527</v>
      </c>
      <c r="K11" s="203"/>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row>
    <row r="12" spans="1:35" ht="29" x14ac:dyDescent="0.3">
      <c r="A12" s="207" t="str">
        <f t="shared" ca="1" si="0"/>
        <v>Population cible</v>
      </c>
      <c r="B12" s="203" t="s">
        <v>117</v>
      </c>
      <c r="C12" s="203" t="s">
        <v>528</v>
      </c>
      <c r="D12" s="210" t="s">
        <v>767</v>
      </c>
      <c r="E12" s="203"/>
      <c r="F12" s="203"/>
      <c r="G12" s="203" t="str">
        <f t="shared" ca="1" si="1"/>
        <v>Estimation des populations dans le besoin/à risque:
Cela se rapporte à l'ensemble des adultes et enfants vivant avec le VIH</v>
      </c>
      <c r="H12" s="211" t="s">
        <v>664</v>
      </c>
      <c r="I12" s="261" t="s">
        <v>790</v>
      </c>
      <c r="J12" s="226" t="s">
        <v>744</v>
      </c>
      <c r="K12" s="203"/>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row>
    <row r="13" spans="1:35" ht="14.5" x14ac:dyDescent="0.3">
      <c r="A13" s="207" t="str">
        <f t="shared" ca="1" si="0"/>
        <v>Couverture nationale actuelle</v>
      </c>
      <c r="B13" s="203" t="s">
        <v>13</v>
      </c>
      <c r="C13" s="203" t="s">
        <v>529</v>
      </c>
      <c r="D13" s="203" t="s">
        <v>47</v>
      </c>
      <c r="E13" s="203"/>
      <c r="F13" s="203"/>
      <c r="G13" s="203" t="str">
        <f t="shared" ca="1" si="1"/>
        <v>Cible du pays :
1) Se rapporte au plan stratégique national ou à toute autre cible du pays approuvée plus récemment
2) « # » correspond au nombre total de personnes devant être sous traitement antirétroviral
3) « % » correspond au nombre d'adultes et d'enfants censés être sous traitement antirétroviral dans l'ensemble des adultes et des enfants vivant avec le VIH</v>
      </c>
      <c r="H13" s="203" t="s">
        <v>345</v>
      </c>
      <c r="I13" s="208" t="s">
        <v>530</v>
      </c>
      <c r="J13" s="203" t="s">
        <v>499</v>
      </c>
      <c r="K13" s="203"/>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row>
    <row r="14" spans="1:35" ht="168" x14ac:dyDescent="0.3">
      <c r="A14" s="207" t="str">
        <f t="shared" ca="1" si="0"/>
        <v>Indiquez les résultats les plus récents</v>
      </c>
      <c r="B14" s="203" t="s">
        <v>14</v>
      </c>
      <c r="C14" s="203" t="s">
        <v>531</v>
      </c>
      <c r="D14" s="203" t="s">
        <v>48</v>
      </c>
      <c r="E14" s="203"/>
      <c r="F14" s="203"/>
      <c r="G14" s="203" t="str">
        <f t="shared" ca="1" si="1"/>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H14" s="226" t="s">
        <v>823</v>
      </c>
      <c r="I14" s="208" t="s">
        <v>532</v>
      </c>
      <c r="J14" s="203" t="s">
        <v>500</v>
      </c>
      <c r="K14" s="203"/>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row>
    <row r="15" spans="1:35" ht="14.5" x14ac:dyDescent="0.3">
      <c r="A15" s="207" t="str">
        <f t="shared" ca="1" si="0"/>
        <v>Année</v>
      </c>
      <c r="B15" s="203" t="s">
        <v>10</v>
      </c>
      <c r="C15" s="203" t="s">
        <v>533</v>
      </c>
      <c r="D15" s="203" t="s">
        <v>49</v>
      </c>
      <c r="E15" s="203"/>
      <c r="F15" s="203"/>
      <c r="G15" s="203" t="str">
        <f t="shared" ca="1" si="1"/>
        <v>Déficit programmatique :
Le déficit programmatique est calculé à partir des besoins totaux (rangée A).</v>
      </c>
      <c r="H15" s="203" t="s">
        <v>38</v>
      </c>
      <c r="I15" s="208" t="s">
        <v>470</v>
      </c>
      <c r="J15" s="203" t="s">
        <v>534</v>
      </c>
      <c r="K15" s="203"/>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row>
    <row r="16" spans="1:35" ht="43.5" x14ac:dyDescent="0.3">
      <c r="A16" s="207" t="str">
        <f t="shared" ca="1" si="0"/>
        <v>Source des données</v>
      </c>
      <c r="B16" s="203" t="s">
        <v>11</v>
      </c>
      <c r="C16" s="203" t="s">
        <v>535</v>
      </c>
      <c r="D16" s="203" t="s">
        <v>53</v>
      </c>
      <c r="E16" s="203"/>
      <c r="F16" s="203"/>
      <c r="G16" s="203" t="str">
        <f t="shared" ca="1" si="1"/>
        <v>Observations/Hypothèses :
1) Indiquez la région cible en cas de couverture infranationale
2) Précisez qui sont les autres sources de financement</v>
      </c>
      <c r="H16" s="211" t="s">
        <v>665</v>
      </c>
      <c r="I16" s="232" t="s">
        <v>725</v>
      </c>
      <c r="J16" s="226" t="s">
        <v>726</v>
      </c>
      <c r="K16" s="203"/>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row>
    <row r="17" spans="1:35" ht="14.5" x14ac:dyDescent="0.3">
      <c r="A17" s="207" t="str">
        <f t="shared" ca="1" si="0"/>
        <v>Observations</v>
      </c>
      <c r="B17" s="203" t="s">
        <v>12</v>
      </c>
      <c r="C17" s="203" t="s">
        <v>536</v>
      </c>
      <c r="D17" s="203" t="s">
        <v>54</v>
      </c>
      <c r="E17" s="203"/>
      <c r="F17" s="203"/>
      <c r="G17" s="203" t="str">
        <f t="shared" ca="1" si="1"/>
        <v>PTME - Prévention de la transmission verticale du VIH</v>
      </c>
      <c r="H17" s="203" t="s">
        <v>346</v>
      </c>
      <c r="I17" s="203" t="s">
        <v>537</v>
      </c>
      <c r="J17" s="203" t="s">
        <v>428</v>
      </c>
      <c r="K17" s="203"/>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row>
    <row r="18" spans="1:35" ht="14.5" x14ac:dyDescent="0.3">
      <c r="A18" s="207" t="str">
        <f t="shared" ca="1" si="0"/>
        <v>Année 1</v>
      </c>
      <c r="B18" s="203" t="s">
        <v>2</v>
      </c>
      <c r="C18" s="203" t="s">
        <v>538</v>
      </c>
      <c r="D18" s="203" t="s">
        <v>50</v>
      </c>
      <c r="E18" s="203"/>
      <c r="F18" s="203"/>
      <c r="G18" s="203" t="str">
        <f t="shared" ca="1" si="1"/>
        <v>Indicateur de couverture : 
Pourcentage de femmes enceintes séropositives au VIH ayant reçu des antirétroviraux durant leur grossesse</v>
      </c>
      <c r="H18" s="203" t="s">
        <v>347</v>
      </c>
      <c r="I18" s="208" t="s">
        <v>539</v>
      </c>
      <c r="J18" s="203" t="s">
        <v>540</v>
      </c>
      <c r="K18" s="203"/>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row>
    <row r="19" spans="1:35" ht="14.5" x14ac:dyDescent="0.3">
      <c r="A19" s="207" t="str">
        <f t="shared" ca="1" si="0"/>
        <v>Année 2</v>
      </c>
      <c r="B19" s="203" t="s">
        <v>3</v>
      </c>
      <c r="C19" s="203" t="s">
        <v>541</v>
      </c>
      <c r="D19" s="203" t="s">
        <v>51</v>
      </c>
      <c r="E19" s="203"/>
      <c r="F19" s="203"/>
      <c r="G19" s="203" t="str">
        <f t="shared" ca="1" si="1"/>
        <v>Estimation des populations dans le besoin/à risque :
Se rapporte au nombre estimé de femmes enceintes séropositives.</v>
      </c>
      <c r="H19" s="203" t="s">
        <v>36</v>
      </c>
      <c r="I19" s="208" t="s">
        <v>542</v>
      </c>
      <c r="J19" s="203" t="s">
        <v>60</v>
      </c>
      <c r="K19" s="203"/>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row>
    <row r="20" spans="1:35" ht="112" x14ac:dyDescent="0.3">
      <c r="A20" s="207" t="str">
        <f t="shared" ca="1" si="0"/>
        <v>Année 3</v>
      </c>
      <c r="B20" s="203" t="s">
        <v>4</v>
      </c>
      <c r="C20" s="203" t="s">
        <v>543</v>
      </c>
      <c r="D20" s="203" t="s">
        <v>52</v>
      </c>
      <c r="E20" s="203"/>
      <c r="F20" s="203"/>
      <c r="G20" s="203" t="str">
        <f t="shared" ca="1" si="1"/>
        <v xml:space="preserve">Cible du pays :
1) Se rapporte au plan stratégique national (PSN) ou à toute autre cible du pays approuvée plus récemment.
2) « # » se rapporte au nombre de femmes enceintes séropositives censées recevoir des antirétroviraux afin de réduire le risque de transmission de la mère à l'enfant au cours de la grossesse et de l'accouchement.
3) « % » se rapporte au pourcentage de femmes enceintes séropositives recevant des antirétroviraux afin de réduire le risque de transmission de la mère à l'enfant dans la population estimée des femmes enceintes séropositives. </v>
      </c>
      <c r="H20" s="211" t="s">
        <v>669</v>
      </c>
      <c r="I20" s="261" t="s">
        <v>791</v>
      </c>
      <c r="J20" s="226" t="s">
        <v>745</v>
      </c>
      <c r="K20" s="203"/>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row>
    <row r="21" spans="1:35" ht="14.5" x14ac:dyDescent="0.3">
      <c r="A21" s="207" t="str">
        <f t="shared" ca="1" si="0"/>
        <v>Indiquez l'année</v>
      </c>
      <c r="B21" s="203" t="s">
        <v>5</v>
      </c>
      <c r="C21" s="203" t="s">
        <v>544</v>
      </c>
      <c r="D21" s="203" t="s">
        <v>401</v>
      </c>
      <c r="E21" s="203"/>
      <c r="F21" s="203"/>
      <c r="G21" s="203" t="str">
        <f t="shared" ca="1" si="1"/>
        <v>Déficit programmatique :
Le déficit programmatique est calculé à partir des besoins totaux (rangée A).</v>
      </c>
      <c r="H21" s="203" t="s">
        <v>35</v>
      </c>
      <c r="I21" s="203" t="s">
        <v>470</v>
      </c>
      <c r="J21" s="203" t="s">
        <v>545</v>
      </c>
      <c r="K21" s="203"/>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row>
    <row r="22" spans="1:35" ht="42" x14ac:dyDescent="0.3">
      <c r="A22" s="207" t="str">
        <f t="shared" ca="1" si="0"/>
        <v>Observations/Hypothèses</v>
      </c>
      <c r="B22" s="203" t="s">
        <v>31</v>
      </c>
      <c r="C22" s="203" t="s">
        <v>546</v>
      </c>
      <c r="D22" s="203" t="s">
        <v>55</v>
      </c>
      <c r="E22" s="203"/>
      <c r="F22" s="203"/>
      <c r="G22" s="203" t="str">
        <f t="shared" ca="1" si="1"/>
        <v>Observations/Hypothèses :
1) Indiquez la zone cible
2) Spécifiez les autres sources de financement.</v>
      </c>
      <c r="H22" s="226" t="s">
        <v>37</v>
      </c>
      <c r="I22" s="208" t="s">
        <v>471</v>
      </c>
      <c r="J22" s="203" t="s">
        <v>61</v>
      </c>
      <c r="K22" s="203"/>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row>
    <row r="23" spans="1:35" ht="14.25" customHeight="1" x14ac:dyDescent="0.3">
      <c r="A23" s="207" t="str">
        <f t="shared" ca="1" si="0"/>
        <v>Estimation des besoins actuels du pays</v>
      </c>
      <c r="B23" s="203" t="s">
        <v>6</v>
      </c>
      <c r="C23" s="203" t="s">
        <v>547</v>
      </c>
      <c r="D23" s="203" t="s">
        <v>56</v>
      </c>
      <c r="E23" s="203"/>
      <c r="F23" s="203"/>
      <c r="G23" s="203" t="str">
        <f t="shared" ca="1" si="1"/>
        <v>Tuberculose et VIH - Dépistage de la tuberculose parmi les patients atteints du VIH</v>
      </c>
      <c r="H23" s="210" t="s">
        <v>668</v>
      </c>
      <c r="I23" s="208" t="s">
        <v>724</v>
      </c>
      <c r="J23" s="203" t="s">
        <v>1139</v>
      </c>
      <c r="K23" s="203"/>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row>
    <row r="24" spans="1:35" ht="56" x14ac:dyDescent="0.3">
      <c r="A24" s="207" t="str">
        <f t="shared" ref="A24:A37" ca="1" si="2">OFFSET($B24,0,LangOffset,1,1)</f>
        <v>A. Estimation du total des populations dans le besoin/à risque (Prévention VIH)</v>
      </c>
      <c r="B24" s="223" t="s">
        <v>648</v>
      </c>
      <c r="C24" s="263" t="s">
        <v>804</v>
      </c>
      <c r="D24" s="203" t="s">
        <v>764</v>
      </c>
      <c r="E24" s="203"/>
      <c r="F24" s="203"/>
      <c r="G24" s="203" t="str">
        <f t="shared" ca="1" si="1"/>
        <v xml:space="preserve">Indicateur de couverture :
Pourcentage de personnes vivant avec le VIH ayant nouvellement initié la TARV et chez qui les signes de la tuberculose ont été recherchés </v>
      </c>
      <c r="H24" s="278" t="s">
        <v>1130</v>
      </c>
      <c r="I24" s="279" t="s">
        <v>1131</v>
      </c>
      <c r="J24" s="246" t="s">
        <v>1136</v>
      </c>
      <c r="K24" s="203"/>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row>
    <row r="25" spans="1:35" ht="29" x14ac:dyDescent="0.3">
      <c r="A25" s="207" t="str">
        <f t="shared" ca="1" si="2"/>
        <v>B. Cibles du pays
(à partir du plan stratégique national)</v>
      </c>
      <c r="B25" s="203" t="s">
        <v>33</v>
      </c>
      <c r="C25" s="203" t="s">
        <v>548</v>
      </c>
      <c r="D25" s="203" t="s">
        <v>483</v>
      </c>
      <c r="E25" s="203"/>
      <c r="F25" s="203"/>
      <c r="G25" s="203" t="str">
        <f t="shared" ca="1" si="1"/>
        <v xml:space="preserve">Estimation des populations dans le besoin/à risque :
Se rapporte à toutes les personnes vivant avec le VIH ayant nouvellement initié la TARV  </v>
      </c>
      <c r="H25" s="278" t="s">
        <v>1132</v>
      </c>
      <c r="I25" s="279" t="s">
        <v>1133</v>
      </c>
      <c r="J25" s="246" t="s">
        <v>1137</v>
      </c>
      <c r="K25" s="203"/>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row>
    <row r="26" spans="1:35" ht="99.65" customHeight="1" x14ac:dyDescent="0.3">
      <c r="A26" s="207" t="str">
        <f t="shared" ca="1" si="2"/>
        <v>Besoins du pays déjà couverts</v>
      </c>
      <c r="B26" s="203" t="s">
        <v>8</v>
      </c>
      <c r="C26" s="203" t="s">
        <v>549</v>
      </c>
      <c r="D26" s="203" t="s">
        <v>57</v>
      </c>
      <c r="E26" s="203"/>
      <c r="F26" s="203"/>
      <c r="G26" s="203" t="str">
        <f t="shared" ca="1" si="1"/>
        <v xml:space="preserve">Cible du pays :
1) Se rapporte au plan stratégique national ou à toute autre cible du pays approuvée plus récemment
2) « # » correspond à toutes les personnes vivant avec le VIH ayant nouvellement initié la TARV et chez qui les signes de la tuberculose ont été recherchés 
3) « % » correspond au pourcentage de personnes vivant avec le VIH ayant nouvellement initié la TARV  dont le statut TB a été évalué et enregistré, parmi toutes les personnes vivant avec le VIH ayant nouvellement initié la TARV  
</v>
      </c>
      <c r="H26" s="205" t="s">
        <v>1134</v>
      </c>
      <c r="I26" s="280" t="s">
        <v>1135</v>
      </c>
      <c r="J26" s="246" t="s">
        <v>1138</v>
      </c>
      <c r="K26" s="203"/>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row>
    <row r="27" spans="1:35" ht="14.5" x14ac:dyDescent="0.3">
      <c r="A27" s="207" t="str">
        <f t="shared" ca="1" si="2"/>
        <v>C1. Besoins du pays devant être couverts par des ressources nationales</v>
      </c>
      <c r="B27" s="203" t="s">
        <v>73</v>
      </c>
      <c r="C27" s="203" t="s">
        <v>550</v>
      </c>
      <c r="D27" s="203" t="s">
        <v>484</v>
      </c>
      <c r="E27" s="203"/>
      <c r="F27" s="203"/>
      <c r="G27" s="203" t="str">
        <f t="shared" ca="1" si="1"/>
        <v>Déficit programmatique :
Le déficit programmatique est calculé à partir des besoins totaux (rangée A).</v>
      </c>
      <c r="H27" s="203" t="s">
        <v>35</v>
      </c>
      <c r="I27" s="203" t="s">
        <v>470</v>
      </c>
      <c r="J27" s="203" t="s">
        <v>545</v>
      </c>
      <c r="K27" s="203"/>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row>
    <row r="28" spans="1:35" ht="15" customHeight="1" x14ac:dyDescent="0.3">
      <c r="A28" s="207" t="str">
        <f t="shared" ca="1" si="2"/>
        <v>C2. Besoins du pays devant être couverts par des ressources extérieures</v>
      </c>
      <c r="B28" s="203" t="s">
        <v>74</v>
      </c>
      <c r="C28" s="203" t="s">
        <v>551</v>
      </c>
      <c r="D28" s="203" t="s">
        <v>485</v>
      </c>
      <c r="E28" s="203"/>
      <c r="F28" s="203"/>
      <c r="G28" s="203" t="str">
        <f t="shared" ca="1" si="1"/>
        <v>Observations/Hypothèses :
1) Indiquez la zone cible.
2) Précisez qui sont les autres sources de financement.</v>
      </c>
      <c r="H28" s="203" t="s">
        <v>37</v>
      </c>
      <c r="I28" s="208" t="s">
        <v>472</v>
      </c>
      <c r="J28" s="203" t="s">
        <v>61</v>
      </c>
      <c r="K28" s="203"/>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row>
    <row r="29" spans="1:35" ht="14.5" x14ac:dyDescent="0.3">
      <c r="A29" s="207" t="str">
        <f t="shared" ca="1" si="2"/>
        <v>C3. Total des besoins du pays déjà couverts</v>
      </c>
      <c r="B29" s="203" t="s">
        <v>692</v>
      </c>
      <c r="C29" s="208" t="s">
        <v>693</v>
      </c>
      <c r="D29" s="203" t="s">
        <v>694</v>
      </c>
      <c r="E29" s="203"/>
      <c r="F29" s="203"/>
      <c r="G29" s="203" t="str">
        <f t="shared" ca="1" si="1"/>
        <v>Tuberculose et VIH - Patients atteints de tuberculose et dont le statut sérologique vis-à-vis du VIH est connu</v>
      </c>
      <c r="H29" s="210" t="s">
        <v>666</v>
      </c>
      <c r="I29" s="208" t="s">
        <v>723</v>
      </c>
      <c r="J29" s="203" t="s">
        <v>722</v>
      </c>
      <c r="K29" s="203"/>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row>
    <row r="30" spans="1:35" ht="42.5" x14ac:dyDescent="0.3">
      <c r="A30" s="207" t="str">
        <f t="shared" ca="1" si="2"/>
        <v>Déficit programmatique</v>
      </c>
      <c r="B30" s="203" t="s">
        <v>9</v>
      </c>
      <c r="C30" s="203" t="s">
        <v>552</v>
      </c>
      <c r="D30" s="203" t="s">
        <v>486</v>
      </c>
      <c r="E30" s="203"/>
      <c r="F30" s="203"/>
      <c r="G30" s="203" t="str">
        <f t="shared" ca="1" si="1"/>
        <v>Indicateur de couverture :
Pourcentage de patients tuberculeux enregistrés, nouveaux cas et cas de récidive confondus, dont le statut sérologique vis-à-vis du VIH est documenté</v>
      </c>
      <c r="H30" s="211" t="s">
        <v>646</v>
      </c>
      <c r="I30" s="256" t="s">
        <v>792</v>
      </c>
      <c r="J30" s="226" t="s">
        <v>746</v>
      </c>
      <c r="K30" s="203"/>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row>
    <row r="31" spans="1:35" ht="14.25" customHeight="1" x14ac:dyDescent="0.3">
      <c r="A31" s="207" t="str">
        <f t="shared" ca="1" si="2"/>
        <v>D. Déficit annuel attendu par rapport aux besoins : A - C3</v>
      </c>
      <c r="B31" s="203" t="s">
        <v>695</v>
      </c>
      <c r="C31" s="208" t="s">
        <v>696</v>
      </c>
      <c r="D31" s="226" t="s">
        <v>697</v>
      </c>
      <c r="E31" s="203"/>
      <c r="F31" s="203"/>
      <c r="G31" s="203" t="str">
        <f t="shared" ca="1" si="1"/>
        <v>Estimation des populations dans le besoin/à risque :
Se rapporte au nombre total de patients tuberculeux (nouveaux cas et récidives) enregistrés</v>
      </c>
      <c r="H31" s="203" t="s">
        <v>348</v>
      </c>
      <c r="I31" s="208" t="s">
        <v>553</v>
      </c>
      <c r="J31" s="203" t="s">
        <v>429</v>
      </c>
      <c r="K31" s="203"/>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row>
    <row r="32" spans="1:35" ht="98" x14ac:dyDescent="0.3">
      <c r="A32" s="207" t="str">
        <f t="shared" ca="1" si="2"/>
        <v>Besoins du pays couverts par la somme allouée</v>
      </c>
      <c r="B32" s="203" t="s">
        <v>75</v>
      </c>
      <c r="C32" s="203" t="s">
        <v>554</v>
      </c>
      <c r="D32" s="203" t="s">
        <v>487</v>
      </c>
      <c r="E32" s="203"/>
      <c r="F32" s="203"/>
      <c r="G32" s="203" t="str">
        <f t="shared" ca="1" si="1"/>
        <v>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v>
      </c>
      <c r="H32" s="226" t="s">
        <v>349</v>
      </c>
      <c r="I32" s="208" t="s">
        <v>473</v>
      </c>
      <c r="J32" s="203" t="s">
        <v>501</v>
      </c>
      <c r="K32" s="203"/>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row>
    <row r="33" spans="1:38" ht="14.25" customHeight="1" x14ac:dyDescent="0.3">
      <c r="A33" s="207" t="str">
        <f t="shared" ca="1" si="2"/>
        <v>E. Cibles devant être financées par la somme allouée</v>
      </c>
      <c r="B33" s="203" t="s">
        <v>34</v>
      </c>
      <c r="C33" s="203" t="s">
        <v>555</v>
      </c>
      <c r="D33" s="203" t="s">
        <v>402</v>
      </c>
      <c r="E33" s="203"/>
      <c r="F33" s="203"/>
      <c r="G33" s="203" t="str">
        <f t="shared" ca="1" si="1"/>
        <v>Déficit programmatique :
Le déficit programmatique est calculé à partir des besoins totaux (rangée A).</v>
      </c>
      <c r="H33" s="203" t="s">
        <v>35</v>
      </c>
      <c r="I33" s="203" t="s">
        <v>470</v>
      </c>
      <c r="J33" s="203" t="s">
        <v>545</v>
      </c>
      <c r="K33" s="203"/>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row>
    <row r="34" spans="1:38" ht="14.5" x14ac:dyDescent="0.3">
      <c r="A34" s="207" t="str">
        <f t="shared" ca="1" si="2"/>
        <v>F. Couverture par la somme allouée et d'autres ressources : E + C3</v>
      </c>
      <c r="B34" s="203" t="s">
        <v>698</v>
      </c>
      <c r="C34" s="208" t="s">
        <v>699</v>
      </c>
      <c r="D34" s="203" t="s">
        <v>700</v>
      </c>
      <c r="E34" s="203"/>
      <c r="F34" s="203"/>
      <c r="G34" s="203" t="str">
        <f t="shared" ca="1" si="1"/>
        <v>Observations/Hypothèses :
1) Indiquez la zone cible
2) Précisez qui sont les autres sources de financement</v>
      </c>
      <c r="H34" s="203" t="s">
        <v>39</v>
      </c>
      <c r="I34" s="203" t="s">
        <v>556</v>
      </c>
      <c r="J34" s="203" t="s">
        <v>61</v>
      </c>
      <c r="K34" s="203"/>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row>
    <row r="35" spans="1:38" ht="13.5" customHeight="1" x14ac:dyDescent="0.3">
      <c r="A35" s="203" t="str">
        <f t="shared" ca="1" si="2"/>
        <v xml:space="preserve">G. Déficit restant : A - F </v>
      </c>
      <c r="B35" s="203" t="s">
        <v>77</v>
      </c>
      <c r="C35" s="203" t="s">
        <v>557</v>
      </c>
      <c r="D35" s="203" t="s">
        <v>488</v>
      </c>
      <c r="E35" s="203"/>
      <c r="F35" s="203"/>
      <c r="G35" s="203" t="str">
        <f t="shared" ca="1" si="1"/>
        <v>Tuberculose et VIH - Patients tuberculeux séropositifs sous traitement antirétroviral</v>
      </c>
      <c r="H35" s="210" t="s">
        <v>670</v>
      </c>
      <c r="I35" s="208" t="s">
        <v>720</v>
      </c>
      <c r="J35" s="203" t="s">
        <v>721</v>
      </c>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17"/>
      <c r="AK35" s="17"/>
      <c r="AL35" s="17"/>
    </row>
    <row r="36" spans="1:38" ht="14.25" customHeight="1" x14ac:dyDescent="0.3">
      <c r="A36" s="203">
        <f t="shared" ca="1" si="2"/>
        <v>0</v>
      </c>
      <c r="B36" s="203"/>
      <c r="C36" s="203"/>
      <c r="D36" s="203"/>
      <c r="E36" s="203"/>
      <c r="F36" s="203"/>
      <c r="G36" s="203" t="str">
        <f t="shared" ca="1" si="1"/>
        <v>Indicateur de couverture :
Pourcentage de nouveaux patients  tuberculeux et de rechutes, séropositifs au VIH, sous traitement antirétroviral au cours du traitement de la tuberculose</v>
      </c>
      <c r="H36" s="203" t="s">
        <v>464</v>
      </c>
      <c r="I36" s="208" t="s">
        <v>558</v>
      </c>
      <c r="J36" s="203" t="s">
        <v>559</v>
      </c>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17"/>
      <c r="AK36" s="17"/>
      <c r="AL36" s="17"/>
    </row>
    <row r="37" spans="1:38" s="16" customFormat="1" ht="42" x14ac:dyDescent="0.3">
      <c r="A37" s="203">
        <f t="shared" ca="1" si="2"/>
        <v>0</v>
      </c>
      <c r="B37" s="203"/>
      <c r="C37" s="203"/>
      <c r="D37" s="203"/>
      <c r="E37" s="203"/>
      <c r="F37" s="203"/>
      <c r="G37" s="203" t="str">
        <f t="shared" ca="1" si="1"/>
        <v>Estimation des populations dans le besoin/à risque :
Correspond au nombre total de patients tuberculeux (nouveaux cas et récidives) et séropositifs que l'on s'attend à enregistrer sur la période</v>
      </c>
      <c r="H37" s="226" t="s">
        <v>667</v>
      </c>
      <c r="I37" s="208" t="s">
        <v>560</v>
      </c>
      <c r="J37" s="203" t="s">
        <v>430</v>
      </c>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17"/>
      <c r="AK37" s="17"/>
      <c r="AL37" s="17"/>
    </row>
    <row r="38" spans="1:38" ht="14.25" customHeight="1" x14ac:dyDescent="0.3">
      <c r="A38" s="203"/>
      <c r="B38" s="203"/>
      <c r="C38" s="203"/>
      <c r="D38" s="203"/>
      <c r="E38" s="203"/>
      <c r="F38" s="203"/>
      <c r="G38" s="203" t="str">
        <f t="shared" ca="1" si="1"/>
        <v>Cible du pays :
1) Se rapporte au plan stratégique national ou à toute cible du pays approuvée plus récemment
2) « # » correspond au nombre de patients tuberculeux (nouveaux cas et récidives) et séropositifs sous traitement antirétroviral
3) « % » correspond au pourcentage de patients tuberculeux (nouveaux cas et récidives) et séropositifs sous traitement antirétroviral dans la population totale des patients tuberculeux (nouveaux cas et cas de récidive) et séropositifs enregistrés</v>
      </c>
      <c r="H38" s="203" t="s">
        <v>350</v>
      </c>
      <c r="I38" s="208" t="s">
        <v>474</v>
      </c>
      <c r="J38" s="203" t="s">
        <v>502</v>
      </c>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17"/>
      <c r="AK38" s="17"/>
      <c r="AL38" s="17"/>
    </row>
    <row r="39" spans="1:38" ht="15.75" customHeight="1" x14ac:dyDescent="0.3">
      <c r="A39" s="203" t="str">
        <f t="shared" ref="A39:A53" ca="1" si="3">OFFSET($B39,0,LangOffset,1,1)</f>
        <v>Circoncision masculine</v>
      </c>
      <c r="B39" s="203" t="s">
        <v>20</v>
      </c>
      <c r="C39" s="203" t="s">
        <v>561</v>
      </c>
      <c r="D39" s="203" t="s">
        <v>58</v>
      </c>
      <c r="E39" s="203"/>
      <c r="F39" s="203"/>
      <c r="G39" s="203" t="str">
        <f t="shared" ca="1" si="1"/>
        <v>Déficit programmatique :
Le déficit programmatique est calculé à partir des besoins totaux (rangée A).</v>
      </c>
      <c r="H39" s="271" t="s">
        <v>38</v>
      </c>
      <c r="I39" s="208" t="s">
        <v>470</v>
      </c>
      <c r="J39" s="203" t="s">
        <v>545</v>
      </c>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17"/>
      <c r="AK39" s="17"/>
      <c r="AL39" s="17"/>
    </row>
    <row r="40" spans="1:38" ht="14.25" customHeight="1" x14ac:dyDescent="0.3">
      <c r="A40" s="203" t="str">
        <f t="shared" ca="1" si="3"/>
        <v>Prévention - Circoncision médicale masculine volontaire</v>
      </c>
      <c r="B40" s="210" t="s">
        <v>683</v>
      </c>
      <c r="C40" s="262" t="s">
        <v>803</v>
      </c>
      <c r="D40" s="203" t="s">
        <v>763</v>
      </c>
      <c r="E40" s="203"/>
      <c r="F40" s="203"/>
      <c r="G40" s="203" t="str">
        <f t="shared" ca="1" si="1"/>
        <v>Observations/Hypothèses :
1) Indiquez la zone cible
2) Précisez qui sont les autres sources de financement</v>
      </c>
      <c r="H40" s="271" t="s">
        <v>39</v>
      </c>
      <c r="I40" s="203" t="s">
        <v>556</v>
      </c>
      <c r="J40" s="203" t="s">
        <v>61</v>
      </c>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17"/>
      <c r="AK40" s="17"/>
      <c r="AL40" s="17"/>
    </row>
    <row r="41" spans="1:38" ht="14.5" x14ac:dyDescent="0.3">
      <c r="A41" s="203" t="str">
        <f t="shared" ca="1" si="3"/>
        <v xml:space="preserve">Nombre de circoncisions médicales pratiquées </v>
      </c>
      <c r="B41" s="203" t="s">
        <v>109</v>
      </c>
      <c r="C41" s="203" t="s">
        <v>562</v>
      </c>
      <c r="D41" s="203" t="s">
        <v>403</v>
      </c>
      <c r="E41" s="203"/>
      <c r="F41" s="203"/>
      <c r="G41" s="203" t="str">
        <f t="shared" ca="1" si="1"/>
        <v xml:space="preserve">TB/VIH - Initiation du traitement préventif de la tuberculose (TPT) pour les PVVIH </v>
      </c>
      <c r="H41" s="275" t="s">
        <v>848</v>
      </c>
      <c r="I41" s="203" t="s">
        <v>853</v>
      </c>
      <c r="J41" s="203" t="s">
        <v>865</v>
      </c>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17"/>
      <c r="AK41" s="17"/>
      <c r="AL41" s="17"/>
    </row>
    <row r="42" spans="1:38" ht="42" x14ac:dyDescent="0.3">
      <c r="A42" s="203" t="str">
        <f t="shared" ca="1" si="3"/>
        <v>Cible nationale déjà couverte</v>
      </c>
      <c r="B42" s="203" t="s">
        <v>45</v>
      </c>
      <c r="C42" s="203" t="s">
        <v>563</v>
      </c>
      <c r="D42" s="203" t="s">
        <v>404</v>
      </c>
      <c r="E42" s="203"/>
      <c r="F42" s="203"/>
      <c r="G42" s="203" t="str">
        <f t="shared" ca="1" si="1"/>
        <v xml:space="preserve">Indicateur de couverture:
Pourcentage de PVVIH sous traitement antirétroviral qui ont commencé la thérapie préventive de la tuberculose parmi ceux éligibles durant la période de rapportage </v>
      </c>
      <c r="H42" s="205" t="s">
        <v>844</v>
      </c>
      <c r="I42" s="271" t="s">
        <v>854</v>
      </c>
      <c r="J42" s="271" t="s">
        <v>862</v>
      </c>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17"/>
      <c r="AK42" s="17"/>
      <c r="AL42" s="17"/>
    </row>
    <row r="43" spans="1:38" ht="14.5" x14ac:dyDescent="0.3">
      <c r="A43" s="203" t="str">
        <f t="shared" ca="1" si="3"/>
        <v>C1. Cible nationale devant être couverte par des ressources nationales</v>
      </c>
      <c r="B43" s="203" t="s">
        <v>326</v>
      </c>
      <c r="C43" s="203" t="s">
        <v>564</v>
      </c>
      <c r="D43" s="203" t="s">
        <v>405</v>
      </c>
      <c r="E43" s="203"/>
      <c r="F43" s="203"/>
      <c r="G43" s="203" t="str">
        <f t="shared" ca="1" si="1"/>
        <v>Population estimée dans le besoin / à risque:
Désigne le nombre estimé de personnes vivant avec le VIH et enrôlées dans le traitement antirétroviral qui sont éligibles pour un traitement préventif de la tuberculose pendant la période de rapportage.
Ceci exclut les PVVIH sous traitement antituberculeux ou qui sont en cours d'évaluation d’une tuberculose active. Dans la mesure du possible, cela devrait également exclure les PVVIH qui ont déjà terminé le TPT dans les délais recommandés par la politique nationale, ainsi que les PVVIH jugées cliniquement non éligibles en raison de comorbidités et de contre-indications, telles que l’hépatite active, l'alcoolisme chronique, l'utilisation d'autres médicaments comme les médicaments potentiellement hépatotoxiques (névirapine par exemple) et/ou la neuropathie</v>
      </c>
      <c r="H43" s="275" t="s">
        <v>845</v>
      </c>
      <c r="I43" s="203" t="s">
        <v>855</v>
      </c>
      <c r="J43" s="203" t="s">
        <v>863</v>
      </c>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17"/>
      <c r="AK43" s="17"/>
      <c r="AL43" s="17"/>
    </row>
    <row r="44" spans="1:38" ht="14.5" x14ac:dyDescent="0.3">
      <c r="A44" s="203" t="str">
        <f t="shared" ca="1" si="3"/>
        <v>C2. Cible nationale devant être couverte par des ressources extérieures</v>
      </c>
      <c r="B44" s="203" t="s">
        <v>327</v>
      </c>
      <c r="C44" s="203" t="s">
        <v>565</v>
      </c>
      <c r="D44" s="203" t="s">
        <v>406</v>
      </c>
      <c r="E44" s="203"/>
      <c r="F44" s="203"/>
      <c r="G44" s="203" t="str">
        <f t="shared" ca="1" si="1"/>
        <v xml:space="preserve">Country target:
1) refers to NSP or any other latest agreed country target
2) # se rapporte au nombre de PVVIH sous traitement antirétroviral qui ont commencé un traitement pour une infection tuberculeuse latente 
3) % refers to the percentage of PVVIH sous traitement antirétroviral qui ont commencé un traitement pour une infection tuberculeuse latente parmi ceux qui sont éligibles pour le TPT (voir ci-dessus). </v>
      </c>
      <c r="H44" s="275" t="s">
        <v>846</v>
      </c>
      <c r="I44" s="203" t="s">
        <v>856</v>
      </c>
      <c r="J44" s="203" t="s">
        <v>864</v>
      </c>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17"/>
      <c r="AK44" s="17"/>
      <c r="AL44" s="17"/>
    </row>
    <row r="45" spans="1:38" ht="28" x14ac:dyDescent="0.3">
      <c r="A45" s="203" t="str">
        <f t="shared" ca="1" si="3"/>
        <v>C3. Total de la cible nationale déjà couvert</v>
      </c>
      <c r="B45" s="203" t="s">
        <v>701</v>
      </c>
      <c r="C45" s="208" t="s">
        <v>703</v>
      </c>
      <c r="D45" s="203" t="s">
        <v>705</v>
      </c>
      <c r="E45" s="203"/>
      <c r="F45" s="203"/>
      <c r="G45" s="203" t="str">
        <f t="shared" ca="1" si="1"/>
        <v>Déficit programmatique :
Le déficit programmatique est calculé à partir des besoins totaux (rangée A).</v>
      </c>
      <c r="H45" s="205" t="s">
        <v>849</v>
      </c>
      <c r="I45" s="203" t="s">
        <v>470</v>
      </c>
      <c r="J45" s="203" t="s">
        <v>545</v>
      </c>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17"/>
      <c r="AK45" s="17"/>
      <c r="AL45" s="17"/>
    </row>
    <row r="46" spans="1:38" ht="42" x14ac:dyDescent="0.3">
      <c r="A46" s="203" t="str">
        <f t="shared" ca="1" si="3"/>
        <v>D. Déficit annuel attendu par rapport à la cible nationale : B - C3</v>
      </c>
      <c r="B46" s="203" t="s">
        <v>702</v>
      </c>
      <c r="C46" s="203" t="s">
        <v>704</v>
      </c>
      <c r="D46" s="203" t="s">
        <v>706</v>
      </c>
      <c r="E46" s="203"/>
      <c r="F46" s="203"/>
      <c r="G46" s="203" t="str">
        <f t="shared" ca="1" si="1"/>
        <v>Observations/Hypothèses :
1) Indiquez la zone cible
2) Précisez qui sont les autres sources de financement</v>
      </c>
      <c r="H46" s="205" t="s">
        <v>847</v>
      </c>
      <c r="I46" s="203" t="s">
        <v>556</v>
      </c>
      <c r="J46" s="203" t="s">
        <v>61</v>
      </c>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17"/>
      <c r="AK46" s="17"/>
      <c r="AL46" s="17"/>
    </row>
    <row r="47" spans="1:38" ht="126" x14ac:dyDescent="0.3">
      <c r="A47" s="203" t="str">
        <f t="shared" ca="1" si="3"/>
        <v>Cible nationale déjà couverte par la somme allouée</v>
      </c>
      <c r="B47" s="203" t="s">
        <v>366</v>
      </c>
      <c r="C47" s="203" t="s">
        <v>567</v>
      </c>
      <c r="D47" s="203" t="s">
        <v>407</v>
      </c>
      <c r="E47" s="203"/>
      <c r="F47" s="203"/>
      <c r="G47" s="203" t="str">
        <f t="shared" ca="1" si="1"/>
        <v xml:space="preserve">Programmes de prévention pour les populations clés - ensemble de services définis
Remplissez un tableau distinct pour chacune des populations clés concernées, par exemple : les professionnel(le)s du sexe et leurs clients ; les hommes qui ont des rapports sexuels avec d'autres hommes ; les personnes transgenres ; personnes qui s'injectent des drogues et leurs partenaires  ; les personnes incarcérées ou se trouvant dans d'autres lieux fermés ; les adolescentes et les jeunes femmes dans des contextes à forte prévalence;  les hommes dans des contextes à forte prévalence; les autres populations vulnérables, en relation avec la demande de financement. Après avoir sélectionné ce module, sélectionnez la population clé souhaitée dans la liste déroulante prévue à côté de la cellule « Population cible ». Si vous sélectionnez « autres populations vulnérables », veuillez préciser de quelle population il s'agit dans la section des observations. </v>
      </c>
      <c r="H47" s="211" t="s">
        <v>672</v>
      </c>
      <c r="I47" s="256" t="s">
        <v>831</v>
      </c>
      <c r="J47" s="226" t="s">
        <v>747</v>
      </c>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17"/>
      <c r="AK47" s="17"/>
      <c r="AL47" s="17"/>
    </row>
    <row r="48" spans="1:38" ht="14.5" x14ac:dyDescent="0.3">
      <c r="A48" s="203" t="str">
        <f t="shared" ca="1" si="3"/>
        <v xml:space="preserve">G. Déficit restant : B - F </v>
      </c>
      <c r="B48" s="203" t="s">
        <v>78</v>
      </c>
      <c r="C48" s="203" t="s">
        <v>568</v>
      </c>
      <c r="D48" s="203" t="s">
        <v>489</v>
      </c>
      <c r="E48" s="203"/>
      <c r="F48" s="203"/>
      <c r="G48" s="203" t="str">
        <f t="shared" ca="1" si="1"/>
        <v>Indicateur de couverture : 
Pourcentage de personnes appartenant aux populations clés atteintes par des programmes de prévention - paquet de services définis</v>
      </c>
      <c r="H48" s="203" t="s">
        <v>351</v>
      </c>
      <c r="I48" s="208" t="s">
        <v>468</v>
      </c>
      <c r="J48" s="203" t="s">
        <v>431</v>
      </c>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17"/>
      <c r="AK48" s="17"/>
      <c r="AL48" s="17"/>
    </row>
    <row r="49" spans="1:38" ht="28" x14ac:dyDescent="0.3">
      <c r="A49" s="203" t="str">
        <f t="shared" ca="1" si="3"/>
        <v>Toutes les cibles en % des rangées C à G sont basées sur les valeurs numériques de la rangée B.</v>
      </c>
      <c r="B49" s="203" t="s">
        <v>707</v>
      </c>
      <c r="C49" s="208" t="s">
        <v>570</v>
      </c>
      <c r="D49" s="203" t="s">
        <v>490</v>
      </c>
      <c r="E49" s="203"/>
      <c r="F49" s="203"/>
      <c r="G49" s="203" t="str">
        <f t="shared" ca="1" si="1"/>
        <v>Estimation des populations dans le besoin/à risque :
Correspond à l'effectif estimé des populations clé spécifiée</v>
      </c>
      <c r="H49" s="226" t="s">
        <v>352</v>
      </c>
      <c r="I49" s="208" t="s">
        <v>475</v>
      </c>
      <c r="J49" s="203" t="s">
        <v>432</v>
      </c>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17"/>
      <c r="AK49" s="17"/>
      <c r="AL49" s="17"/>
    </row>
    <row r="50" spans="1:38" ht="14.5" x14ac:dyDescent="0.3">
      <c r="A50" s="203">
        <f t="shared" ca="1" si="3"/>
        <v>0</v>
      </c>
      <c r="B50" s="203"/>
      <c r="C50" s="203"/>
      <c r="D50" s="203"/>
      <c r="E50" s="203"/>
      <c r="F50" s="203"/>
      <c r="G50" s="203" t="str">
        <f t="shared" ca="1" si="1"/>
        <v xml:space="preserve">Cible du pays :
1) Se rapporte au plan stratégique national ou à toute autre cible du pays approuvée plus récemment
2) « # » correspond au nombre de personnes issues des populations clé spécifiée et censées bénéficier d'un ensemble de services de prévention définis 
3) « % » correspond au pourcentage de personnes bénéficiant d'un ensemble de services de prévention définis dans le total estimé des personnes qui constituent la population clé spécifiée </v>
      </c>
      <c r="H50" s="203" t="s">
        <v>353</v>
      </c>
      <c r="I50" s="208" t="s">
        <v>476</v>
      </c>
      <c r="J50" s="203" t="s">
        <v>503</v>
      </c>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17"/>
      <c r="AK50" s="17"/>
      <c r="AL50" s="17"/>
    </row>
    <row r="51" spans="1:38" ht="14.5" x14ac:dyDescent="0.35">
      <c r="A51" s="203" t="str">
        <f t="shared" ca="1" si="3"/>
        <v>Prévention - populations clés - PrEP</v>
      </c>
      <c r="B51" s="210" t="s">
        <v>656</v>
      </c>
      <c r="C51" s="253" t="s">
        <v>816</v>
      </c>
      <c r="D51" s="249" t="s">
        <v>817</v>
      </c>
      <c r="E51" s="203"/>
      <c r="F51" s="203"/>
      <c r="G51" s="203" t="str">
        <f t="shared" ca="1" si="1"/>
        <v>Déficit programmatique :
Le déficit programmatique est calculé à partir des besoins totaux (rangée A).</v>
      </c>
      <c r="H51" s="203" t="s">
        <v>38</v>
      </c>
      <c r="I51" s="203" t="s">
        <v>470</v>
      </c>
      <c r="J51" s="203" t="s">
        <v>545</v>
      </c>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17"/>
      <c r="AK51" s="17"/>
      <c r="AL51" s="17"/>
    </row>
    <row r="52" spans="1:38" ht="43.5" x14ac:dyDescent="0.3">
      <c r="A52" s="203" t="str">
        <f t="shared" ca="1" si="3"/>
        <v xml:space="preserve">Pourcentage de populations clés éligibles qui ont initié une PrEP antiretrovirale orale au cours des 12 derniers mois </v>
      </c>
      <c r="B52" s="210" t="s">
        <v>657</v>
      </c>
      <c r="C52" s="261" t="s">
        <v>818</v>
      </c>
      <c r="D52" s="203" t="s">
        <v>762</v>
      </c>
      <c r="E52" s="203"/>
      <c r="F52" s="203"/>
      <c r="G52" s="203" t="str">
        <f t="shared" ca="1" si="1"/>
        <v xml:space="preserve">Observations/Hypothèses :
1) Indiquez la zone cible
2) Précisez qui sont les autres sources de financement
3) Spécifiez les interventions incluses dans l'ensemble de services. L'ensemble de services doit faire référence à un ensemble d'interventions qui doivent être réalisées auprès des personnes et en fonction desquelles ces personnes sont ou non inclues dans les résultats. Les personnes doivent donc être comptabilisées uniquement lorsqu'elles ont bénéficié de l'intégralité des interventions de l'ensemble défini de services. </v>
      </c>
      <c r="H52" s="203" t="s">
        <v>40</v>
      </c>
      <c r="I52" s="203" t="s">
        <v>566</v>
      </c>
      <c r="J52" s="203" t="s">
        <v>504</v>
      </c>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17"/>
      <c r="AK52" s="17"/>
      <c r="AL52" s="17"/>
    </row>
    <row r="53" spans="1:38" ht="126" x14ac:dyDescent="0.3">
      <c r="A53" s="203" t="str">
        <f t="shared" ca="1" si="3"/>
        <v>Tableau des déficits programmatiques - Prophylaxie pré-exposition</v>
      </c>
      <c r="B53" s="203" t="s">
        <v>367</v>
      </c>
      <c r="C53" s="203" t="s">
        <v>571</v>
      </c>
      <c r="D53" s="210" t="s">
        <v>765</v>
      </c>
      <c r="E53" s="203"/>
      <c r="F53" s="203"/>
      <c r="G53" s="203" t="str">
        <f t="shared" ca="1" si="1"/>
        <v>Services de dépistage différenciés du VIH 
Remplissez un tableau distinct pour chacune des populations clés concernées, par exemple : les professionnel(le)s du sexe et leurs clients ; les hommes qui ont des rapports sexuels avec d'autres hommes ; les personnes transgenres ; personnes qui s'injectent des drogues et leurs partenaires  ; les personnes incarcérées ou se trouvant dans d'autres lieux fermés ; les adolescentes et les jeunes femmes dans des contextes à forte prévalence;  les hommes dans des contextes à forte prévalence; les autres populations vulnérables, en relation avec la demande de financement. Sélectionnez la population clé concernée dans la liste déroulante prévue à côté de la cellule « Population cible ».  Si vous sélectionnez « autres populations vulnérables », veuillez préciser ci-dessous de quelle population il s'agit dans la section des observations.</v>
      </c>
      <c r="H53" s="211" t="s">
        <v>671</v>
      </c>
      <c r="I53" s="261" t="s">
        <v>832</v>
      </c>
      <c r="J53" s="226" t="s">
        <v>748</v>
      </c>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17"/>
      <c r="AK53" s="17"/>
      <c r="AL53" s="17"/>
    </row>
    <row r="54" spans="1:38" ht="14.5" x14ac:dyDescent="0.3">
      <c r="A54" s="203"/>
      <c r="B54" s="203"/>
      <c r="C54" s="203"/>
      <c r="D54" s="203"/>
      <c r="E54" s="203"/>
      <c r="F54" s="203"/>
      <c r="G54" s="203" t="str">
        <f t="shared" ca="1" si="1"/>
        <v xml:space="preserve">Indicateur de couverture : Pourcentage de personnes appartenant aux populations clés, qui ont effectué un test de dépistage du VIH pendant la période de rapportage de l'information et qui en connaissent le résultat </v>
      </c>
      <c r="H54" s="203" t="s">
        <v>354</v>
      </c>
      <c r="I54" s="208" t="s">
        <v>569</v>
      </c>
      <c r="J54" s="203" t="s">
        <v>433</v>
      </c>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17"/>
      <c r="AK54" s="17"/>
      <c r="AL54" s="17"/>
    </row>
    <row r="55" spans="1:38" ht="14.5" x14ac:dyDescent="0.3">
      <c r="A55" s="203" t="str">
        <f t="shared" ref="A55:A83" ca="1" si="4">OFFSET($B55,0,LangOffset,1,1)</f>
        <v>Tableau des déficits programmatiques pour le VIH/sida - Préservatifs</v>
      </c>
      <c r="B55" s="203" t="s">
        <v>370</v>
      </c>
      <c r="C55" s="203" t="s">
        <v>573</v>
      </c>
      <c r="D55" s="203" t="s">
        <v>574</v>
      </c>
      <c r="E55" s="203"/>
      <c r="F55" s="203"/>
      <c r="G55" s="203" t="str">
        <f t="shared" ca="1" si="1"/>
        <v>Estimation des populations dans le besoin/à risque :
Correspond à l'effectif estimé des populations clé spécifiée</v>
      </c>
      <c r="H55" s="203" t="s">
        <v>352</v>
      </c>
      <c r="I55" s="208" t="s">
        <v>475</v>
      </c>
      <c r="J55" s="203" t="s">
        <v>432</v>
      </c>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17"/>
      <c r="AK55" s="17"/>
      <c r="AL55" s="17"/>
    </row>
    <row r="56" spans="1:38" ht="14.5" x14ac:dyDescent="0.35">
      <c r="A56" s="203" t="str">
        <f t="shared" ca="1" si="4"/>
        <v>Prévention -  Programmation et gestion du préservatif au niveau national</v>
      </c>
      <c r="B56" s="210" t="s">
        <v>685</v>
      </c>
      <c r="C56" s="253" t="s">
        <v>819</v>
      </c>
      <c r="D56" s="249" t="s">
        <v>761</v>
      </c>
      <c r="E56" s="203"/>
      <c r="F56" s="203"/>
      <c r="G56" s="203" t="str">
        <f t="shared" ca="1" si="1"/>
        <v>Cible du pays :
1) Se rapporte au plan stratégique national ou à toute autre cible du pays approuvée plus récemment.
2) « # » correspond au nombre de personnes appartenant à la population clé spécifiée, censées être dépistées pour le VIH durant l'année indiquée
3) « % » correspond au pourcentage de personnes devant être dépistées dans le total estimé des personnes qui constituent la population clé spécifiée</v>
      </c>
      <c r="H56" s="203" t="s">
        <v>355</v>
      </c>
      <c r="I56" s="208" t="s">
        <v>477</v>
      </c>
      <c r="J56" s="203" t="s">
        <v>505</v>
      </c>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17"/>
      <c r="AK56" s="17"/>
      <c r="AL56" s="17"/>
    </row>
    <row r="57" spans="1:38" ht="14.5" x14ac:dyDescent="0.35">
      <c r="A57" s="203" t="str">
        <f t="shared" ca="1" si="4"/>
        <v>Nombre de préservatifs distribués par le programme (masculins et féminins)</v>
      </c>
      <c r="B57" s="210" t="s">
        <v>684</v>
      </c>
      <c r="C57" s="253" t="s">
        <v>802</v>
      </c>
      <c r="D57" s="203" t="s">
        <v>760</v>
      </c>
      <c r="E57" s="203"/>
      <c r="F57" s="203"/>
      <c r="G57" s="203" t="str">
        <f t="shared" ca="1" si="1"/>
        <v>Déficit programmatique :
Le déficit programmatique est calculé à partir des besoins totaux (rangée A).</v>
      </c>
      <c r="H57" s="203" t="s">
        <v>38</v>
      </c>
      <c r="I57" s="203" t="s">
        <v>470</v>
      </c>
      <c r="J57" s="203" t="s">
        <v>545</v>
      </c>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17"/>
      <c r="AK57" s="17"/>
      <c r="AL57" s="17"/>
    </row>
    <row r="58" spans="1:38" ht="14.5" x14ac:dyDescent="0.3">
      <c r="A58" s="203" t="str">
        <f t="shared" ca="1" si="4"/>
        <v>toutes les populations prioritaires</v>
      </c>
      <c r="B58" s="210" t="s">
        <v>650</v>
      </c>
      <c r="C58" s="262" t="s">
        <v>801</v>
      </c>
      <c r="D58" s="249" t="s">
        <v>776</v>
      </c>
      <c r="E58" s="203"/>
      <c r="F58" s="203"/>
      <c r="G58" s="203" t="str">
        <f t="shared" ca="1" si="1"/>
        <v>Observations/Hypothèses :
1) Indiquez la zone cible
2) Précisez qui sont les autres sources de financement</v>
      </c>
      <c r="H58" s="203" t="s">
        <v>39</v>
      </c>
      <c r="I58" s="203" t="s">
        <v>556</v>
      </c>
      <c r="J58" s="203" t="s">
        <v>61</v>
      </c>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17"/>
      <c r="AK58" s="17"/>
      <c r="AL58" s="17"/>
    </row>
    <row r="59" spans="1:38" ht="14.5" x14ac:dyDescent="0.3">
      <c r="A59" s="203" t="str">
        <f t="shared" ca="1" si="4"/>
        <v>A1. Nombre total de préservatifs masculins nécessaires</v>
      </c>
      <c r="B59" s="203" t="s">
        <v>66</v>
      </c>
      <c r="C59" s="208" t="s">
        <v>398</v>
      </c>
      <c r="D59" s="203" t="s">
        <v>408</v>
      </c>
      <c r="E59" s="203"/>
      <c r="F59" s="203"/>
      <c r="G59" s="203" t="str">
        <f t="shared" ca="1" si="1"/>
        <v>Onglet "NSP gap table"</v>
      </c>
      <c r="H59" s="203" t="s">
        <v>340</v>
      </c>
      <c r="I59" s="208" t="s">
        <v>807</v>
      </c>
      <c r="J59" s="203" t="s">
        <v>520</v>
      </c>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17"/>
      <c r="AK59" s="17"/>
      <c r="AL59" s="17"/>
    </row>
    <row r="60" spans="1:38" ht="14.5" x14ac:dyDescent="0.3">
      <c r="A60" s="203" t="str">
        <f t="shared" ca="1" si="4"/>
        <v>A2. Nombre total de préservatifs féminins nécessaires</v>
      </c>
      <c r="B60" s="203" t="s">
        <v>67</v>
      </c>
      <c r="C60" s="208" t="s">
        <v>399</v>
      </c>
      <c r="D60" s="203" t="s">
        <v>409</v>
      </c>
      <c r="E60" s="203"/>
      <c r="F60" s="203"/>
      <c r="G60" s="203" t="str">
        <f t="shared" ca="1" si="1"/>
        <v>Programmes de prévention destinés aux personnes qui s'injectent des drogues et à leurs partenaires - Programmes de distribution d'aiguilles et de seringues</v>
      </c>
      <c r="H60" s="203" t="s">
        <v>360</v>
      </c>
      <c r="I60" s="203" t="s">
        <v>841</v>
      </c>
      <c r="J60" s="203" t="s">
        <v>572</v>
      </c>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17"/>
      <c r="AK60" s="17"/>
      <c r="AL60" s="17"/>
    </row>
    <row r="61" spans="1:38" ht="14.5" x14ac:dyDescent="0.3">
      <c r="A61" s="203" t="str">
        <f t="shared" ca="1" si="4"/>
        <v>B1. Cibles du pays- préservatifs masculins
(à partir du plan stratégique national)</v>
      </c>
      <c r="B61" s="203" t="s">
        <v>68</v>
      </c>
      <c r="C61" s="203" t="s">
        <v>577</v>
      </c>
      <c r="D61" s="203" t="s">
        <v>491</v>
      </c>
      <c r="E61" s="209"/>
      <c r="F61" s="203"/>
      <c r="G61" s="203" t="str">
        <f t="shared" ca="1" si="1"/>
        <v xml:space="preserve">Indicateur de couverture : Nombre d'aiguilles et de seringues distribuées </v>
      </c>
      <c r="H61" s="203" t="s">
        <v>361</v>
      </c>
      <c r="I61" s="203" t="s">
        <v>575</v>
      </c>
      <c r="J61" s="203" t="s">
        <v>434</v>
      </c>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17"/>
      <c r="AK61" s="17"/>
      <c r="AL61" s="17"/>
    </row>
    <row r="62" spans="1:38" ht="28" x14ac:dyDescent="0.3">
      <c r="A62" s="203" t="str">
        <f t="shared" ca="1" si="4"/>
        <v>B2. Cibles du pays- préservatifs féminins
(à partir du plan stratégique national)</v>
      </c>
      <c r="B62" s="203" t="s">
        <v>69</v>
      </c>
      <c r="C62" s="203" t="s">
        <v>578</v>
      </c>
      <c r="D62" s="203" t="s">
        <v>492</v>
      </c>
      <c r="E62" s="209"/>
      <c r="F62" s="203"/>
      <c r="G62" s="203" t="str">
        <f t="shared" ca="1" si="1"/>
        <v xml:space="preserve">Estimation des populations dans le besoin/à risque :
Correspond au nombre estimé de personnes qui s'injectent des drogues </v>
      </c>
      <c r="H62" s="203" t="s">
        <v>65</v>
      </c>
      <c r="I62" s="271" t="s">
        <v>833</v>
      </c>
      <c r="J62" s="203" t="s">
        <v>506</v>
      </c>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17"/>
      <c r="AK62" s="17"/>
      <c r="AL62" s="17"/>
    </row>
    <row r="63" spans="1:38" ht="14.5" x14ac:dyDescent="0.3">
      <c r="A63" s="203" t="str">
        <f t="shared" ca="1" si="4"/>
        <v>Cible nationale déjà couverte par des sources de financement</v>
      </c>
      <c r="B63" s="203" t="s">
        <v>325</v>
      </c>
      <c r="C63" s="203" t="s">
        <v>579</v>
      </c>
      <c r="D63" s="203" t="s">
        <v>410</v>
      </c>
      <c r="E63" s="203"/>
      <c r="F63" s="203"/>
      <c r="G63" s="203" t="str">
        <f t="shared" ca="1" si="1"/>
        <v xml:space="preserve">Nombre d'aiguilles et de seringues a distribuer par personne et par an : 
Indiquez le nombre d'aiguilles et de seringues qu'il est prévu de distribuer par personne et par an.
Pour plus de détails, reportez-vous aux rangées directrices (en anglais) de l'OMS : </v>
      </c>
      <c r="H63" s="203" t="s">
        <v>362</v>
      </c>
      <c r="I63" s="208" t="s">
        <v>478</v>
      </c>
      <c r="J63" s="203" t="s">
        <v>507</v>
      </c>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17"/>
      <c r="AK63" s="17"/>
      <c r="AL63" s="17"/>
    </row>
    <row r="64" spans="1:38" ht="56" x14ac:dyDescent="0.3">
      <c r="A64" s="203" t="str">
        <f t="shared" ca="1" si="4"/>
        <v>C1. Cible nationale devant être couverte par des ressources nationales, y compris le secteur privé, le cas échéant</v>
      </c>
      <c r="B64" s="210" t="s">
        <v>649</v>
      </c>
      <c r="C64" s="258" t="s">
        <v>800</v>
      </c>
      <c r="D64" s="203" t="s">
        <v>759</v>
      </c>
      <c r="E64" s="203"/>
      <c r="F64" s="203"/>
      <c r="G64" s="203" t="str">
        <f t="shared" ca="1" si="1"/>
        <v xml:space="preserve">Tool to Set and Monitor Targets for HIV Prevention, Diagnosis, Treatment and Care for Key Populations, juillet 2015 (pages 40 et 41)
http://apps.who.int/iris/bitstream/10665/177992/1/9789241508995_eng.pdf?ua=1&amp;ua=1 </v>
      </c>
      <c r="H64" s="226" t="s">
        <v>343</v>
      </c>
      <c r="I64" s="203" t="s">
        <v>576</v>
      </c>
      <c r="J64" s="203" t="s">
        <v>435</v>
      </c>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17"/>
      <c r="AK64" s="17"/>
      <c r="AL64" s="17"/>
    </row>
    <row r="65" spans="1:52" ht="14.5" x14ac:dyDescent="0.3">
      <c r="A65" s="203" t="str">
        <f t="shared" ca="1" si="4"/>
        <v>C2. Cible nationale devant être couverte par des ressources extérieures</v>
      </c>
      <c r="B65" s="203" t="s">
        <v>651</v>
      </c>
      <c r="C65" s="203" t="s">
        <v>565</v>
      </c>
      <c r="D65" s="203" t="s">
        <v>406</v>
      </c>
      <c r="E65" s="203"/>
      <c r="F65" s="203"/>
      <c r="G65" s="203" t="str">
        <f t="shared" ca="1" si="1"/>
        <v>Cibles envisageables : Basse ← 100 ← Moyenne → 200 → Haute
Notez que les quantités nécessaires pour prévenir la transmission du VHC seront vraisemblablement très supérieures à celles qui sont proposées ici.
Ce nombre doit être calculé même si vous ne connaissez pas le nombre d'aiguilles/seringues vendues en pharmacie.</v>
      </c>
      <c r="H65" s="203" t="s">
        <v>342</v>
      </c>
      <c r="I65" s="208" t="s">
        <v>479</v>
      </c>
      <c r="J65" s="203" t="s">
        <v>508</v>
      </c>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17"/>
      <c r="AK65" s="17"/>
      <c r="AL65" s="17"/>
    </row>
    <row r="66" spans="1:52" ht="14.5" x14ac:dyDescent="0.3">
      <c r="A66" s="203" t="str">
        <f t="shared" ca="1" si="4"/>
        <v>C3 Total de la cible nationale qui devrait être couvert (C1 + C2)</v>
      </c>
      <c r="B66" s="203" t="s">
        <v>328</v>
      </c>
      <c r="C66" s="203" t="s">
        <v>580</v>
      </c>
      <c r="D66" s="203" t="s">
        <v>411</v>
      </c>
      <c r="E66" s="203"/>
      <c r="F66" s="203"/>
      <c r="G66" s="203" t="str">
        <f t="shared" ca="1" si="1"/>
        <v>Nombre total d'aiguilles et de seringues nécessaire :
Correspond au nombre total d'aiguilles et de seringues à distribuer chaque année, estimé à partir du nombre d'aiguilles et de seringues nécessaires par personne et par an.</v>
      </c>
      <c r="H66" s="203" t="s">
        <v>363</v>
      </c>
      <c r="I66" s="208" t="s">
        <v>480</v>
      </c>
      <c r="J66" s="203" t="s">
        <v>436</v>
      </c>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17"/>
      <c r="AK66" s="17"/>
      <c r="AL66" s="17"/>
    </row>
    <row r="67" spans="1:52" ht="72.5" x14ac:dyDescent="0.3">
      <c r="A67" s="203" t="str">
        <f t="shared" ca="1" si="4"/>
        <v>Cible nationale déjà couverte par type de préservatif</v>
      </c>
      <c r="B67" s="203" t="s">
        <v>329</v>
      </c>
      <c r="C67" s="203" t="s">
        <v>581</v>
      </c>
      <c r="D67" s="203" t="s">
        <v>412</v>
      </c>
      <c r="E67" s="203"/>
      <c r="F67" s="203"/>
      <c r="G67" s="203" t="str">
        <f t="shared" ca="1" si="1"/>
        <v xml:space="preserve">Cible du pays :
1) Se rapporte au plan stratégique national ou à toute autre cible du pays approuvée plus récemment
2) « # » correspond au nombre d'aiguilles et de seringues qu'il est prévu de distribuer chaque année dans le cadre du programme, en fonction de la couverture attendue des populations des personnes qui s'injectent des drogues et du nombre d'aiguilles et de seringues nécessaires par personne concernée.  </v>
      </c>
      <c r="H67" s="226" t="s">
        <v>364</v>
      </c>
      <c r="I67" s="232" t="s">
        <v>834</v>
      </c>
      <c r="J67" s="226" t="s">
        <v>509</v>
      </c>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17"/>
      <c r="AK67" s="17"/>
      <c r="AL67" s="17"/>
    </row>
    <row r="68" spans="1:52" ht="14.5" x14ac:dyDescent="0.3">
      <c r="A68" s="203" t="str">
        <f t="shared" ca="1" si="4"/>
        <v>C4. Cible nationale qui devrait être couverte (ressources nationales et extérieures) - préservatifs masculins</v>
      </c>
      <c r="B68" s="203" t="s">
        <v>368</v>
      </c>
      <c r="C68" s="203" t="s">
        <v>582</v>
      </c>
      <c r="D68" s="203" t="s">
        <v>413</v>
      </c>
      <c r="E68" s="203"/>
      <c r="F68" s="203"/>
      <c r="G68" s="203">
        <f t="shared" ca="1" si="1"/>
        <v>0</v>
      </c>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17"/>
      <c r="AK68" s="17"/>
      <c r="AL68" s="17"/>
    </row>
    <row r="69" spans="1:52" ht="14.5" x14ac:dyDescent="0.3">
      <c r="A69" s="203" t="str">
        <f t="shared" ca="1" si="4"/>
        <v>C5. Cible nationale qui devrait être couverte (ressources nationales et extérieures) - préservatifs féminins</v>
      </c>
      <c r="B69" s="203" t="s">
        <v>369</v>
      </c>
      <c r="C69" s="203" t="s">
        <v>583</v>
      </c>
      <c r="D69" s="203" t="s">
        <v>414</v>
      </c>
      <c r="E69" s="203"/>
      <c r="F69" s="203"/>
      <c r="G69" s="203">
        <f t="shared" ca="1" si="1"/>
        <v>0</v>
      </c>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17"/>
      <c r="AK69" s="17"/>
      <c r="AL69" s="17"/>
      <c r="AM69" s="17"/>
      <c r="AN69" s="17"/>
      <c r="AO69" s="17"/>
      <c r="AP69" s="17"/>
      <c r="AQ69" s="17"/>
      <c r="AR69" s="17"/>
      <c r="AS69" s="17"/>
      <c r="AT69" s="17"/>
      <c r="AU69" s="17"/>
      <c r="AV69" s="17"/>
      <c r="AW69" s="17"/>
      <c r="AX69" s="17"/>
      <c r="AY69" s="17"/>
      <c r="AZ69" s="17"/>
    </row>
    <row r="70" spans="1:52" ht="14.5" x14ac:dyDescent="0.3">
      <c r="A70" s="203" t="str">
        <f t="shared" ca="1" si="4"/>
        <v>C6. Total de la cible nationale qui devrait être couvert (masculins + féminins) (C1 + C2)</v>
      </c>
      <c r="B70" s="203" t="s">
        <v>330</v>
      </c>
      <c r="C70" s="203" t="s">
        <v>584</v>
      </c>
      <c r="D70" s="203" t="s">
        <v>415</v>
      </c>
      <c r="E70" s="203"/>
      <c r="F70" s="203"/>
      <c r="G70" s="203" t="str">
        <f t="shared" ca="1" si="1"/>
        <v>Programmes de prévention destinés aux personnes qui s'injectent des drogues et à leurs partenaires - Traitements de substitution aux opiacés et autres traitements de la dépendance pour les usagers de drogues injectables</v>
      </c>
      <c r="H70" s="203" t="s">
        <v>356</v>
      </c>
      <c r="I70" s="208" t="s">
        <v>842</v>
      </c>
      <c r="J70" s="203" t="s">
        <v>469</v>
      </c>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17"/>
      <c r="AK70" s="17"/>
      <c r="AL70" s="17"/>
      <c r="AM70" s="17"/>
      <c r="AN70" s="17"/>
      <c r="AO70" s="17"/>
      <c r="AP70" s="17"/>
      <c r="AQ70" s="17"/>
      <c r="AR70" s="17"/>
      <c r="AS70" s="17"/>
      <c r="AT70" s="17"/>
      <c r="AU70" s="17"/>
      <c r="AV70" s="17"/>
      <c r="AW70" s="17"/>
      <c r="AX70" s="17"/>
      <c r="AY70" s="17"/>
      <c r="AZ70" s="17"/>
    </row>
    <row r="71" spans="1:52" s="17" customFormat="1" ht="14.5" x14ac:dyDescent="0.3">
      <c r="A71" s="203" t="str">
        <f t="shared" ca="1" si="4"/>
        <v>Déficit programmatique</v>
      </c>
      <c r="B71" s="203" t="s">
        <v>9</v>
      </c>
      <c r="C71" s="203" t="s">
        <v>552</v>
      </c>
      <c r="D71" s="203" t="s">
        <v>486</v>
      </c>
      <c r="E71" s="203"/>
      <c r="F71" s="203"/>
      <c r="G71" s="203" t="str">
        <f t="shared" ca="1" si="1"/>
        <v>Indicateur de couverture : Pourcentage de personnes qui s'injectent des drogues suivant un traitement de substitution aux opiacés.</v>
      </c>
      <c r="H71" s="203" t="s">
        <v>357</v>
      </c>
      <c r="I71" s="203" t="s">
        <v>835</v>
      </c>
      <c r="J71" s="203" t="s">
        <v>62</v>
      </c>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row>
    <row r="72" spans="1:52" s="17" customFormat="1" ht="28" x14ac:dyDescent="0.3">
      <c r="A72" s="203" t="str">
        <f t="shared" ca="1" si="4"/>
        <v>D1. Déficit annuel attendu par rapport aux besoins - préservatifs masculins : B1 - C4</v>
      </c>
      <c r="B72" s="203" t="s">
        <v>331</v>
      </c>
      <c r="C72" s="203" t="s">
        <v>585</v>
      </c>
      <c r="D72" s="203" t="s">
        <v>493</v>
      </c>
      <c r="E72" s="203"/>
      <c r="F72" s="203"/>
      <c r="G72" s="203" t="str">
        <f t="shared" ca="1" si="1"/>
        <v xml:space="preserve">Estimation des populations dans le besoin/à risque :
Se rapporte au nombre estimé de personnes qui s'injectent des drogues </v>
      </c>
      <c r="H72" s="226" t="s">
        <v>65</v>
      </c>
      <c r="I72" s="271" t="s">
        <v>836</v>
      </c>
      <c r="J72" s="203" t="s">
        <v>506</v>
      </c>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row>
    <row r="73" spans="1:52" s="17" customFormat="1" ht="87" x14ac:dyDescent="0.3">
      <c r="A73" s="203" t="str">
        <f t="shared" ca="1" si="4"/>
        <v>D2. Déficit annuel attendu par rapport aux besoins - préservatifs féminins : B2 - C5</v>
      </c>
      <c r="B73" s="203" t="s">
        <v>334</v>
      </c>
      <c r="C73" s="203" t="s">
        <v>586</v>
      </c>
      <c r="D73" s="203" t="s">
        <v>494</v>
      </c>
      <c r="E73" s="203"/>
      <c r="F73" s="203"/>
      <c r="G73" s="203" t="str">
        <f t="shared" ca="1" si="1"/>
        <v>Cible du pays :
1) Se rapporte au plan stratégique national ou à toute autre cible du pays approuvée plus récemment
2) « # » correspond au nombre de personnes qui s'injectent des drogues censés recevoir un traitement substitutif aux opiacés
3) « % » correspond au pourcentage de personnes qui s'injectent des drogues recevant un traitement de substitution aux opiacés dans la population estimée des personnes qui s'injectent des drogues</v>
      </c>
      <c r="H73" s="226" t="s">
        <v>825</v>
      </c>
      <c r="I73" s="272" t="s">
        <v>837</v>
      </c>
      <c r="J73" s="203" t="s">
        <v>510</v>
      </c>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row>
    <row r="74" spans="1:52" s="17" customFormat="1" ht="14.5" x14ac:dyDescent="0.3">
      <c r="A74" s="203" t="str">
        <f t="shared" ca="1" si="4"/>
        <v>Cible nationale déjà couverte par la somme allouée</v>
      </c>
      <c r="B74" s="203" t="s">
        <v>366</v>
      </c>
      <c r="C74" s="203" t="s">
        <v>567</v>
      </c>
      <c r="D74" s="203" t="s">
        <v>416</v>
      </c>
      <c r="E74" s="203"/>
      <c r="F74" s="203"/>
      <c r="G74" s="203" t="str">
        <f t="shared" ca="1" si="1"/>
        <v>Déficit programmatique :
Le déficit programmatique est calculé à partir des besoins totaux (rangée A).</v>
      </c>
      <c r="H74" s="203" t="s">
        <v>38</v>
      </c>
      <c r="I74" s="203" t="s">
        <v>470</v>
      </c>
      <c r="J74" s="203" t="s">
        <v>545</v>
      </c>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row>
    <row r="75" spans="1:52" ht="14.5" x14ac:dyDescent="0.3">
      <c r="A75" s="203" t="str">
        <f t="shared" ca="1" si="4"/>
        <v>E1. Cibles devant être financées par la somme allouée - préservatifs masculins</v>
      </c>
      <c r="B75" s="203" t="s">
        <v>70</v>
      </c>
      <c r="C75" s="203" t="s">
        <v>588</v>
      </c>
      <c r="D75" s="203" t="s">
        <v>417</v>
      </c>
      <c r="E75" s="203"/>
      <c r="F75" s="203"/>
      <c r="G75" s="203" t="str">
        <f t="shared" ca="1" si="1"/>
        <v>Observations/Hypothèses :
1) Indiquez la zone cible
2) Précisez qui sont les autres sources de financement</v>
      </c>
      <c r="H75" s="203" t="s">
        <v>39</v>
      </c>
      <c r="I75" s="203" t="s">
        <v>556</v>
      </c>
      <c r="J75" s="203" t="s">
        <v>61</v>
      </c>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17"/>
      <c r="AK75" s="17"/>
      <c r="AL75" s="17"/>
    </row>
    <row r="76" spans="1:52" ht="14.5" x14ac:dyDescent="0.3">
      <c r="A76" s="203" t="str">
        <f t="shared" ca="1" si="4"/>
        <v>E2. Cibles devant être financées par la somme allouée - préservatifs féminins</v>
      </c>
      <c r="B76" s="203" t="s">
        <v>71</v>
      </c>
      <c r="C76" s="203" t="s">
        <v>590</v>
      </c>
      <c r="D76" s="203" t="s">
        <v>418</v>
      </c>
      <c r="E76" s="203"/>
      <c r="F76" s="203"/>
      <c r="G76" s="203" t="str">
        <f t="shared" ca="1" si="1"/>
        <v>Onglet "PrEP gap table"</v>
      </c>
      <c r="H76" s="203" t="s">
        <v>341</v>
      </c>
      <c r="I76" s="208" t="s">
        <v>808</v>
      </c>
      <c r="J76" s="249" t="s">
        <v>521</v>
      </c>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17"/>
      <c r="AK76" s="17"/>
      <c r="AL76" s="17"/>
    </row>
    <row r="77" spans="1:52" ht="126" x14ac:dyDescent="0.3">
      <c r="A77" s="203" t="str">
        <f t="shared" ca="1" si="4"/>
        <v>F1. Couverture par la somme allouée et d'autres ressources - préservatifs masculins :
 E1 + C4</v>
      </c>
      <c r="B77" s="203" t="s">
        <v>81</v>
      </c>
      <c r="C77" s="203" t="s">
        <v>591</v>
      </c>
      <c r="D77" s="203" t="s">
        <v>419</v>
      </c>
      <c r="E77" s="203"/>
      <c r="F77" s="203"/>
      <c r="G77" s="203" t="str">
        <f t="shared" ca="1" si="1"/>
        <v xml:space="preserve">Programmes de prévention pour les populations clés - PrEP
Remplissez un tableau distinct pour chacune des populations clés concernées, par exemple : les professionnel(le)s du sexe et leurs clients ; les hommes qui ont des rapports sexuels avec d'autres hommes ; les personnes transgenres ; les personnes incarcérées ou se trouvant dans d'autres lieux fermés;  les adolescentes et les jeunes femmes dans des contextes à forte prévalence;  les hommes dans des contextes à forte prévalence; les autres populations vulnérables, en relation avec la demande de financement. Sélectionnez la population clé concernée dans la liste déroulante prévue à côté de la cellule « Population cible ».  Si vous sélectionnez « autres populations vulnérables », veuillez préciser ci-dessous de quelle population il s'agit dans la section des observations. </v>
      </c>
      <c r="H77" s="211" t="s">
        <v>826</v>
      </c>
      <c r="I77" s="258" t="s">
        <v>813</v>
      </c>
      <c r="J77" s="226" t="s">
        <v>814</v>
      </c>
      <c r="K77" s="203"/>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3"/>
      <c r="AI77" s="203"/>
      <c r="AJ77" s="17"/>
      <c r="AK77" s="17"/>
      <c r="AL77" s="17"/>
    </row>
    <row r="78" spans="1:52" ht="29" x14ac:dyDescent="0.3">
      <c r="A78" s="203" t="str">
        <f t="shared" ca="1" si="4"/>
        <v>F2. Couverture par la somme allouée et d'autres ressources - préservatifs féminins :
 E2 + C5</v>
      </c>
      <c r="B78" s="203" t="s">
        <v>82</v>
      </c>
      <c r="C78" s="203" t="s">
        <v>592</v>
      </c>
      <c r="D78" s="203" t="s">
        <v>420</v>
      </c>
      <c r="E78" s="203"/>
      <c r="F78" s="203"/>
      <c r="G78" s="203" t="str">
        <f t="shared" ca="1" si="1"/>
        <v xml:space="preserve">Indicateur de couverture : Pourcentage de populations clés éligibles qui ont initié une PrEP antiretrovirale orale au cours des 12 derniers mois </v>
      </c>
      <c r="H78" s="248" t="s">
        <v>644</v>
      </c>
      <c r="I78" s="261" t="s">
        <v>815</v>
      </c>
      <c r="J78" s="226" t="s">
        <v>749</v>
      </c>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3"/>
      <c r="AI78" s="203"/>
      <c r="AJ78" s="17"/>
      <c r="AK78" s="17"/>
      <c r="AL78" s="17"/>
    </row>
    <row r="79" spans="1:52" ht="70" x14ac:dyDescent="0.3">
      <c r="A79" s="203" t="str">
        <f t="shared" ca="1" si="4"/>
        <v>G1. Déficit restant - préservatifs masculins : B1 - F1</v>
      </c>
      <c r="B79" s="203" t="s">
        <v>332</v>
      </c>
      <c r="C79" s="203" t="s">
        <v>594</v>
      </c>
      <c r="D79" s="203" t="s">
        <v>495</v>
      </c>
      <c r="E79" s="203"/>
      <c r="F79" s="203"/>
      <c r="G79" s="203" t="str">
        <f t="shared" ca="1" si="1"/>
        <v>Estimation des populations dans le besoin/à risque :
Correspond à l'effectif estimé des populations clé spécifiée pendant l'année indiquée 
Indiquez les source de données/les références/les hypothèses utilisées pour estimer la taille des populations dans le besoin dans la cellule des observations.</v>
      </c>
      <c r="H79" s="226" t="s">
        <v>673</v>
      </c>
      <c r="I79" s="208" t="s">
        <v>587</v>
      </c>
      <c r="J79" s="203" t="s">
        <v>437</v>
      </c>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c r="AJ79" s="17"/>
      <c r="AK79" s="17"/>
      <c r="AL79" s="17"/>
    </row>
    <row r="80" spans="1:52" ht="71.5" customHeight="1" x14ac:dyDescent="0.3">
      <c r="A80" s="203" t="str">
        <f t="shared" ca="1" si="4"/>
        <v>G2. Déficit restant - préservatifs féminins : B2 - F2</v>
      </c>
      <c r="B80" s="203" t="s">
        <v>333</v>
      </c>
      <c r="C80" s="203" t="s">
        <v>595</v>
      </c>
      <c r="D80" s="203" t="s">
        <v>496</v>
      </c>
      <c r="E80" s="203"/>
      <c r="F80" s="203"/>
      <c r="G80" s="203" t="str">
        <f t="shared" ca="1" si="1"/>
        <v>Cible du pays :
1) Se rapporte au plan stratégique national ou à toute autre cible du pays approuvée plus récemment.
2) « # » correspond au nombre de personnes appartenant à la population clé spécifiée, censées recevoir une PrEP durant l'année indiquée
3) « % » correspond au pourcentage de personnes devant recevoir une PrEP dans l'effectif total estimé des populations clé spécifiée durant l'année indiquée</v>
      </c>
      <c r="H80" s="226" t="s">
        <v>827</v>
      </c>
      <c r="I80" s="232" t="s">
        <v>820</v>
      </c>
      <c r="J80" s="211" t="s">
        <v>766</v>
      </c>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c r="AJ80" s="17"/>
      <c r="AK80" s="17"/>
      <c r="AL80" s="17"/>
    </row>
    <row r="81" spans="1:38" ht="43" x14ac:dyDescent="0.35">
      <c r="A81" s="203" t="str">
        <f t="shared" ca="1" si="4"/>
        <v>Toutes les cibles en % des rangées C à G sont basées sur les valeurs numériques des rangées B1 et B2.</v>
      </c>
      <c r="B81" s="203" t="s">
        <v>708</v>
      </c>
      <c r="C81" s="203" t="s">
        <v>596</v>
      </c>
      <c r="D81" s="203" t="s">
        <v>421</v>
      </c>
      <c r="E81" s="203"/>
      <c r="F81" s="203"/>
      <c r="G81" s="203" t="str">
        <f t="shared" ca="1" si="1"/>
        <v>Déficit programmatique :
Le déficit programmatique pour les préservatifs masculins et féminins est calculé automatiquement à partir de la cible du pays (B1 et B2)</v>
      </c>
      <c r="H81" s="211" t="s">
        <v>661</v>
      </c>
      <c r="I81" s="256" t="s">
        <v>793</v>
      </c>
      <c r="J81" s="226" t="s">
        <v>750</v>
      </c>
      <c r="K81" s="203"/>
      <c r="L81" s="203"/>
      <c r="M81" s="203"/>
      <c r="N81" s="203"/>
      <c r="O81" s="203"/>
      <c r="P81" s="203"/>
      <c r="Q81" s="203"/>
      <c r="R81" s="203"/>
      <c r="S81" s="203"/>
      <c r="T81" s="203"/>
      <c r="U81" s="203"/>
      <c r="V81" s="203"/>
      <c r="W81" s="203"/>
      <c r="X81" s="203"/>
      <c r="Y81" s="203"/>
      <c r="Z81" s="203"/>
      <c r="AA81" s="203"/>
      <c r="AB81" s="203"/>
      <c r="AC81" s="203"/>
      <c r="AD81" s="203"/>
      <c r="AE81" s="203"/>
      <c r="AF81" s="203"/>
      <c r="AG81" s="203"/>
      <c r="AH81" s="203"/>
      <c r="AI81" s="203"/>
      <c r="AJ81" s="17"/>
      <c r="AK81" s="17"/>
      <c r="AL81" s="17"/>
    </row>
    <row r="82" spans="1:38" ht="14.5" x14ac:dyDescent="0.3">
      <c r="A82" s="203" t="str">
        <f t="shared" ca="1" si="4"/>
        <v xml:space="preserve">Prévention - populations clés </v>
      </c>
      <c r="B82" s="210" t="s">
        <v>658</v>
      </c>
      <c r="C82" s="262" t="s">
        <v>786</v>
      </c>
      <c r="D82" s="249" t="s">
        <v>758</v>
      </c>
      <c r="E82" s="203"/>
      <c r="F82" s="203"/>
      <c r="G82" s="203" t="str">
        <f t="shared" ca="1" si="1"/>
        <v>Onglet "Condom gap tables"</v>
      </c>
      <c r="H82" s="203" t="s">
        <v>106</v>
      </c>
      <c r="I82" s="208" t="s">
        <v>809</v>
      </c>
      <c r="J82" s="203" t="s">
        <v>522</v>
      </c>
      <c r="K82" s="203"/>
      <c r="L82" s="203"/>
      <c r="M82" s="203"/>
      <c r="N82" s="203"/>
      <c r="O82" s="203"/>
      <c r="P82" s="203"/>
      <c r="Q82" s="203"/>
      <c r="R82" s="203"/>
      <c r="S82" s="203"/>
      <c r="T82" s="203"/>
      <c r="U82" s="203"/>
      <c r="V82" s="203"/>
      <c r="W82" s="203"/>
      <c r="X82" s="203"/>
      <c r="Y82" s="203"/>
      <c r="Z82" s="203"/>
      <c r="AA82" s="203"/>
      <c r="AB82" s="203"/>
      <c r="AC82" s="203"/>
      <c r="AD82" s="203"/>
      <c r="AE82" s="203"/>
      <c r="AF82" s="203"/>
      <c r="AG82" s="203"/>
      <c r="AH82" s="203"/>
      <c r="AI82" s="203"/>
      <c r="AJ82" s="17"/>
      <c r="AK82" s="17"/>
      <c r="AL82" s="17"/>
    </row>
    <row r="83" spans="1:38" ht="98" x14ac:dyDescent="0.3">
      <c r="A83" s="203" t="str">
        <f t="shared" ca="1" si="4"/>
        <v>Nombre de préservatifs et de lubrifiants distribués (masculins et féminins)</v>
      </c>
      <c r="B83" s="203" t="s">
        <v>116</v>
      </c>
      <c r="C83" s="203" t="s">
        <v>597</v>
      </c>
      <c r="D83" s="203" t="s">
        <v>422</v>
      </c>
      <c r="E83" s="203"/>
      <c r="F83" s="203"/>
      <c r="G83" s="203" t="str">
        <f t="shared" ca="1" si="1"/>
        <v>Programmes de prévention pour les populations non-spécifiées – programmation des préservatifs
Complétez un tableau couvrant toutes les populations ciblées par la promotion et la distribution de préservatifs.
Utilisation de l’outil d’analyse des besoins en préservatifs suivant est recommandée afin de compléter la Condom Gap Table :   UNAIDS Condom needs estimation and resource requirements tool (C-NET).
Veuillez attacher l’outil rempli en tant qu’annexe à la soumission de la note conceptuelle.</v>
      </c>
      <c r="H83" s="211" t="s">
        <v>688</v>
      </c>
      <c r="I83" s="261" t="s">
        <v>794</v>
      </c>
      <c r="J83" s="226" t="s">
        <v>751</v>
      </c>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17"/>
      <c r="AK83" s="17"/>
      <c r="AL83" s="17"/>
    </row>
    <row r="84" spans="1:38" ht="28" x14ac:dyDescent="0.3">
      <c r="A84" s="203"/>
      <c r="B84" s="203"/>
      <c r="C84" s="203"/>
      <c r="D84" s="203"/>
      <c r="E84" s="203"/>
      <c r="F84" s="203"/>
      <c r="G84" s="203" t="str">
        <f t="shared" ca="1" si="1"/>
        <v>https://hivpreventioncoalition.unaids.org/resource/condom-needs-and-resource-requirement-estimation-tool/</v>
      </c>
      <c r="H84" s="228" t="s">
        <v>687</v>
      </c>
      <c r="I84" s="241" t="s">
        <v>687</v>
      </c>
      <c r="J84" s="241" t="s">
        <v>687</v>
      </c>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17"/>
      <c r="AK84" s="17"/>
      <c r="AL84" s="17"/>
    </row>
    <row r="85" spans="1:38" ht="28" x14ac:dyDescent="0.35">
      <c r="A85" s="203" t="str">
        <f t="shared" ref="A85:A110" ca="1" si="5">OFFSET($B85,0,LangOffset,1,1)</f>
        <v>Prévention - personnes qui s'injectent des drogues et leurs partenaires</v>
      </c>
      <c r="B85" s="210" t="s">
        <v>686</v>
      </c>
      <c r="C85" s="253" t="s">
        <v>824</v>
      </c>
      <c r="D85" s="203" t="s">
        <v>757</v>
      </c>
      <c r="E85" s="203"/>
      <c r="F85" s="203"/>
      <c r="G85" s="203" t="str">
        <f t="shared" ca="1" si="1"/>
        <v xml:space="preserve">Indicateur de couverture : Nombre de préservatifs distribués (masculins et féminins) </v>
      </c>
      <c r="H85" s="210" t="s">
        <v>659</v>
      </c>
      <c r="I85" s="203" t="s">
        <v>593</v>
      </c>
      <c r="J85" s="226" t="s">
        <v>752</v>
      </c>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3"/>
      <c r="AJ85" s="17"/>
      <c r="AK85" s="17"/>
      <c r="AL85" s="17"/>
    </row>
    <row r="86" spans="1:38" ht="87" x14ac:dyDescent="0.3">
      <c r="A86" s="203" t="str">
        <f t="shared" ca="1" si="5"/>
        <v xml:space="preserve">Nombre d'aiguilles et de seringues distribuées </v>
      </c>
      <c r="B86" s="203" t="s">
        <v>335</v>
      </c>
      <c r="C86" s="203" t="s">
        <v>598</v>
      </c>
      <c r="D86" s="203" t="s">
        <v>423</v>
      </c>
      <c r="E86" s="203"/>
      <c r="F86" s="203"/>
      <c r="G86" s="203" t="str">
        <f t="shared" ca="1" si="1"/>
        <v xml:space="preserve">Population estimée dans le besoin (A): Correspond à l'effectif estimé de personnes dans la population générale ciblée par la promotion et la distribution de préservatifs.
Veuillez utiliser les totaux des populations prioritaires calculés dans l'onglet "Exigences relatives aux préservatifs" du C-NET de l'ONUSIDA.
</v>
      </c>
      <c r="H86" s="211" t="s">
        <v>690</v>
      </c>
      <c r="I86" s="261" t="s">
        <v>795</v>
      </c>
      <c r="J86" s="226" t="s">
        <v>753</v>
      </c>
      <c r="K86" s="203"/>
      <c r="L86" s="203"/>
      <c r="M86" s="203"/>
      <c r="N86" s="203"/>
      <c r="O86" s="203"/>
      <c r="P86" s="203"/>
      <c r="Q86" s="203"/>
      <c r="R86" s="203"/>
      <c r="S86" s="203"/>
      <c r="T86" s="203"/>
      <c r="U86" s="203"/>
      <c r="V86" s="203"/>
      <c r="W86" s="203"/>
      <c r="X86" s="203"/>
      <c r="Y86" s="203"/>
      <c r="Z86" s="203"/>
      <c r="AA86" s="203"/>
      <c r="AB86" s="203"/>
      <c r="AC86" s="203"/>
      <c r="AD86" s="203"/>
      <c r="AE86" s="203"/>
      <c r="AF86" s="203"/>
      <c r="AG86" s="203"/>
      <c r="AH86" s="203"/>
      <c r="AI86" s="203"/>
      <c r="AJ86" s="17"/>
      <c r="AK86" s="17"/>
      <c r="AL86" s="17"/>
    </row>
    <row r="87" spans="1:38" ht="72" x14ac:dyDescent="0.3">
      <c r="A87" s="203" t="str">
        <f t="shared" ca="1" si="5"/>
        <v>personnes qui s'injectent des drogues et leurs partenaires</v>
      </c>
      <c r="B87" s="203" t="s">
        <v>680</v>
      </c>
      <c r="C87" s="269" t="s">
        <v>838</v>
      </c>
      <c r="D87" s="203" t="s">
        <v>771</v>
      </c>
      <c r="E87" s="203"/>
      <c r="F87" s="203"/>
      <c r="G87" s="203" t="str">
        <f t="shared" ca="1" si="1"/>
        <v xml:space="preserve">Nombre total de préservatifs nécessaires (A1 - A2): 
Correspond au nombre estimé de préservatifs nécessaires (masculins et féminins) pour atteindre l'objectif de couverture de 90%. Il est recommandé d'utiliser l'outil de gestion des besoins en ressources de l'ONUSIDA pour l’estimation des besoins en préservatifs (lien fourni ci-dessus)
</v>
      </c>
      <c r="H87" s="211" t="s">
        <v>691</v>
      </c>
      <c r="I87" s="258" t="s">
        <v>796</v>
      </c>
      <c r="J87" s="226" t="s">
        <v>754</v>
      </c>
      <c r="K87" s="203"/>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17"/>
      <c r="AK87" s="17"/>
      <c r="AL87" s="17"/>
    </row>
    <row r="88" spans="1:38" ht="70" x14ac:dyDescent="0.3">
      <c r="A88" s="203" t="str">
        <f t="shared" ca="1" si="5"/>
        <v>Tableau des déficits programmatiques pour le VIH/sida - Programmes de distribution d'aiguilles et de seringues</v>
      </c>
      <c r="B88" s="203" t="s">
        <v>371</v>
      </c>
      <c r="C88" s="203" t="s">
        <v>599</v>
      </c>
      <c r="D88" s="203" t="s">
        <v>600</v>
      </c>
      <c r="E88" s="203"/>
      <c r="F88" s="203"/>
      <c r="G88" s="203" t="str">
        <f t="shared" ca="1" si="1"/>
        <v>Nombre total de préservatifs nécessaires (B1 - B2): 
1) Se rapporte au plan stratégique national ou à toute autre cible du pays approuvée plus récemment
2) # correspond au nombre de préservatifs masculins et féminins censés être distribués dans le cadre du programme sur la base de la couverture attendue de toutes les populations prioritaires</v>
      </c>
      <c r="H88" s="211" t="s">
        <v>660</v>
      </c>
      <c r="I88" s="258" t="s">
        <v>797</v>
      </c>
      <c r="J88" s="226" t="s">
        <v>755</v>
      </c>
      <c r="K88" s="203"/>
      <c r="L88" s="203"/>
      <c r="M88" s="203"/>
      <c r="N88" s="203"/>
      <c r="O88" s="203"/>
      <c r="P88" s="203"/>
      <c r="Q88" s="203"/>
      <c r="R88" s="203"/>
      <c r="S88" s="203"/>
      <c r="T88" s="203"/>
      <c r="U88" s="203"/>
      <c r="V88" s="203"/>
      <c r="W88" s="203"/>
      <c r="X88" s="203"/>
      <c r="Y88" s="203"/>
      <c r="Z88" s="203"/>
      <c r="AA88" s="203"/>
      <c r="AB88" s="203"/>
      <c r="AC88" s="203"/>
      <c r="AD88" s="203"/>
      <c r="AE88" s="203"/>
      <c r="AF88" s="203"/>
      <c r="AG88" s="203"/>
      <c r="AH88" s="203"/>
      <c r="AI88" s="203"/>
      <c r="AJ88" s="17"/>
      <c r="AK88" s="17"/>
      <c r="AL88" s="17"/>
    </row>
    <row r="89" spans="1:38" ht="224" x14ac:dyDescent="0.3">
      <c r="A89" s="203" t="str">
        <f t="shared" ca="1" si="5"/>
        <v>Nombre d'aiguilles et de seringues à distribuer par personne et par an</v>
      </c>
      <c r="B89" s="203" t="s">
        <v>336</v>
      </c>
      <c r="C89" s="203" t="s">
        <v>601</v>
      </c>
      <c r="D89" s="203" t="s">
        <v>424</v>
      </c>
      <c r="E89" s="203"/>
      <c r="F89" s="203"/>
      <c r="G89" s="203" t="str">
        <f t="shared" ca="1" si="1"/>
        <v xml:space="preserve">Cible nationale déjà couverte :
La cible du pays déjà couverte est ventilée d'abord par type de ressource de financement, puis par type de préservatif.
Type de ressource : La cible du pays déjà couverte est ventilée selon l'origine des ressources, ressources nationales (rangée C1) et ressources extérieures (rangée C2). Les investissements du secteur privé national doivent figurer dans les sources nationales. Veuillez spécifier sous 'Commentaires / Hypothèses' chaque fois que des ressources du secteur privé sont disponibles. Dans les cas où une partie de la cible est couverte pendant l'année par une subvention en cours du Fonds mondial (se terminant avant le début de la nouvelle période de mise en œuvre), le montant correspondant peut être inclus dans la catégorie des ressources extérieures. Le total des deux est calculé automatiquement dans la rangée C3. 
Type de préservatif : La cible du pays déjà couverte est subdivisée entre les préservatifs masculins (C4) et les préservatifs féminins (C5). Le total des deux est calculé automatiquement dans la rangée C6. Veuillez noter que la somme de C3 et C6 devrait être la même. Si vous ne disposez pas des données nécessaires pour remplir les cellules C1 et C2, remplissez uniquement les cellules C4 et C5.
</v>
      </c>
      <c r="H89" s="211" t="s">
        <v>769</v>
      </c>
      <c r="I89" s="258" t="s">
        <v>798</v>
      </c>
      <c r="J89" s="226" t="s">
        <v>768</v>
      </c>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17"/>
      <c r="AK89" s="17"/>
      <c r="AL89" s="17"/>
    </row>
    <row r="90" spans="1:38" ht="99" x14ac:dyDescent="0.3">
      <c r="A90" s="203" t="str">
        <f t="shared" ca="1" si="5"/>
        <v>A. Nombre total d'aiguilles et de seringues nécessaire</v>
      </c>
      <c r="B90" s="203" t="s">
        <v>337</v>
      </c>
      <c r="C90" s="203" t="s">
        <v>602</v>
      </c>
      <c r="D90" s="203" t="s">
        <v>425</v>
      </c>
      <c r="E90" s="203"/>
      <c r="F90" s="203"/>
      <c r="G90" s="203" t="str">
        <f t="shared" ca="1" si="1"/>
        <v>Observations/Hypothèses :
1) Précisez la méthodologie utilisée pour les prévisions dans la cellule des observations (rangées A1 et A2)
2) Précisez si l'estimation comprend les préservatifs nécessaires à la planification familiale, en plus du nombre nécessaire pour les programmes de prévention du VIH (rangées A1 et A2)
3) Précisez quelle est la couverture attendue des différentes populations prioritaires ciblées pour la promotion et la distribution de préservatifs - rangées B1-B2 et E1-E2
4) Précisez quelles sont les autres sources de financement</v>
      </c>
      <c r="H90" s="211" t="s">
        <v>662</v>
      </c>
      <c r="I90" s="258" t="s">
        <v>799</v>
      </c>
      <c r="J90" s="226" t="s">
        <v>756</v>
      </c>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17"/>
      <c r="AK90" s="17"/>
      <c r="AL90" s="17"/>
    </row>
    <row r="91" spans="1:38" ht="14.5" x14ac:dyDescent="0.3">
      <c r="A91" s="203" t="str">
        <f t="shared" ca="1" si="5"/>
        <v>B. Cible du pays - Nombre d'aiguilles et de seringues à distribuer (à partir du plan stratégique national)</v>
      </c>
      <c r="B91" s="203" t="s">
        <v>338</v>
      </c>
      <c r="C91" s="203" t="s">
        <v>603</v>
      </c>
      <c r="D91" s="203" t="s">
        <v>497</v>
      </c>
      <c r="E91" s="203"/>
      <c r="F91" s="203"/>
      <c r="G91" s="203">
        <f t="shared" ca="1" si="1"/>
        <v>0</v>
      </c>
      <c r="H91" s="226"/>
      <c r="I91" s="208"/>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17"/>
      <c r="AK91" s="17"/>
      <c r="AL91" s="17"/>
    </row>
    <row r="92" spans="1:38" ht="56" x14ac:dyDescent="0.3">
      <c r="A92" s="203" t="str">
        <f t="shared" ca="1" si="5"/>
        <v>D. Déficit annuel attendu par rapport aux besoins - aiguilles et seringues : 
B - C3</v>
      </c>
      <c r="B92" s="226" t="s">
        <v>709</v>
      </c>
      <c r="C92" s="232" t="s">
        <v>710</v>
      </c>
      <c r="D92" s="203" t="s">
        <v>711</v>
      </c>
      <c r="E92" s="203"/>
      <c r="F92" s="203"/>
      <c r="G92" s="203">
        <f t="shared" ca="1" si="1"/>
        <v>0</v>
      </c>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17"/>
      <c r="AK92" s="17"/>
      <c r="AL92" s="17"/>
    </row>
    <row r="93" spans="1:38" ht="14.5" x14ac:dyDescent="0.3">
      <c r="A93" s="203" t="str">
        <f t="shared" ca="1" si="5"/>
        <v>E. Cibles devant être financées par la somme allouée - aiguilles et seringues</v>
      </c>
      <c r="B93" s="203" t="s">
        <v>372</v>
      </c>
      <c r="C93" s="203" t="s">
        <v>605</v>
      </c>
      <c r="D93" s="203" t="s">
        <v>426</v>
      </c>
      <c r="E93" s="203"/>
      <c r="F93" s="203"/>
      <c r="G93" s="203">
        <f t="shared" ca="1" si="1"/>
        <v>0</v>
      </c>
      <c r="H93" s="203"/>
      <c r="I93" s="203"/>
      <c r="J93" s="203"/>
      <c r="K93" s="203"/>
      <c r="L93" s="203"/>
      <c r="M93" s="203"/>
      <c r="N93" s="203"/>
      <c r="O93" s="203"/>
      <c r="P93" s="203"/>
      <c r="Q93" s="203"/>
      <c r="R93" s="203"/>
      <c r="S93" s="203"/>
      <c r="T93" s="203"/>
      <c r="U93" s="203"/>
      <c r="V93" s="203"/>
      <c r="W93" s="203"/>
      <c r="X93" s="203"/>
      <c r="Y93" s="203"/>
      <c r="Z93" s="203"/>
      <c r="AA93" s="203"/>
      <c r="AB93" s="203"/>
      <c r="AC93" s="203"/>
      <c r="AD93" s="203"/>
      <c r="AE93" s="203"/>
      <c r="AF93" s="203"/>
      <c r="AG93" s="203"/>
      <c r="AH93" s="203"/>
      <c r="AI93" s="203"/>
      <c r="AJ93" s="17"/>
      <c r="AK93" s="17"/>
      <c r="AL93" s="17"/>
    </row>
    <row r="94" spans="1:38" ht="14.5" x14ac:dyDescent="0.3">
      <c r="A94" s="203" t="str">
        <f t="shared" ca="1" si="5"/>
        <v>F. Couverture par la somme allouée et d'autres ressources - aiguilles et seringues :  E + C3</v>
      </c>
      <c r="B94" s="203" t="s">
        <v>712</v>
      </c>
      <c r="C94" s="208" t="s">
        <v>713</v>
      </c>
      <c r="D94" s="203" t="s">
        <v>714</v>
      </c>
      <c r="E94" s="203"/>
      <c r="F94" s="203"/>
      <c r="G94" s="203">
        <f t="shared" ca="1" si="1"/>
        <v>0</v>
      </c>
      <c r="H94" s="203"/>
      <c r="I94" s="208"/>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3"/>
      <c r="AI94" s="203"/>
      <c r="AJ94" s="17"/>
      <c r="AK94" s="17"/>
      <c r="AL94" s="17"/>
    </row>
    <row r="95" spans="1:38" ht="14.5" x14ac:dyDescent="0.3">
      <c r="A95" s="203" t="str">
        <f t="shared" ca="1" si="5"/>
        <v>G. Déficit restant - aiguilles et seringues : B - F</v>
      </c>
      <c r="B95" s="203" t="s">
        <v>339</v>
      </c>
      <c r="C95" s="203" t="s">
        <v>607</v>
      </c>
      <c r="D95" s="203" t="s">
        <v>498</v>
      </c>
      <c r="E95" s="203"/>
      <c r="F95" s="203"/>
      <c r="G95" s="203">
        <f t="shared" ca="1" si="1"/>
        <v>0</v>
      </c>
      <c r="H95" s="203"/>
      <c r="I95" s="208"/>
      <c r="J95" s="203"/>
      <c r="K95" s="203"/>
      <c r="L95" s="203"/>
      <c r="M95" s="203"/>
      <c r="N95" s="203"/>
      <c r="O95" s="203"/>
      <c r="P95" s="203"/>
      <c r="Q95" s="203"/>
      <c r="R95" s="203"/>
      <c r="S95" s="203"/>
      <c r="T95" s="203"/>
      <c r="U95" s="203"/>
      <c r="V95" s="203"/>
      <c r="W95" s="203"/>
      <c r="X95" s="203"/>
      <c r="Y95" s="203"/>
      <c r="Z95" s="203"/>
      <c r="AA95" s="203"/>
      <c r="AB95" s="203"/>
      <c r="AC95" s="203"/>
      <c r="AD95" s="203"/>
      <c r="AE95" s="203"/>
      <c r="AF95" s="203"/>
      <c r="AG95" s="203"/>
      <c r="AH95" s="203"/>
      <c r="AI95" s="203"/>
      <c r="AJ95" s="17"/>
      <c r="AK95" s="17"/>
      <c r="AL95" s="17"/>
    </row>
    <row r="96" spans="1:38" ht="14.5" x14ac:dyDescent="0.3">
      <c r="A96" s="203">
        <f t="shared" ca="1" si="5"/>
        <v>0</v>
      </c>
      <c r="B96" s="203"/>
      <c r="C96" s="203"/>
      <c r="D96" s="203"/>
      <c r="E96" s="203"/>
      <c r="F96" s="203"/>
      <c r="G96" s="203">
        <f t="shared" ca="1" si="1"/>
        <v>0</v>
      </c>
      <c r="H96" s="203"/>
      <c r="I96" s="208"/>
      <c r="J96" s="203"/>
      <c r="K96" s="203"/>
      <c r="L96" s="203"/>
      <c r="M96" s="203"/>
      <c r="N96" s="203"/>
      <c r="O96" s="203"/>
      <c r="P96" s="203"/>
      <c r="Q96" s="203"/>
      <c r="R96" s="203"/>
      <c r="S96" s="203"/>
      <c r="T96" s="203"/>
      <c r="U96" s="203"/>
      <c r="V96" s="203"/>
      <c r="W96" s="203"/>
      <c r="X96" s="203"/>
      <c r="Y96" s="203"/>
      <c r="Z96" s="203"/>
      <c r="AA96" s="203"/>
      <c r="AB96" s="203"/>
      <c r="AC96" s="203"/>
      <c r="AD96" s="203"/>
      <c r="AE96" s="203"/>
      <c r="AF96" s="203"/>
      <c r="AG96" s="203"/>
      <c r="AH96" s="203"/>
      <c r="AI96" s="203"/>
      <c r="AJ96" s="17"/>
      <c r="AK96" s="17"/>
      <c r="AL96" s="17"/>
    </row>
    <row r="97" spans="1:38" ht="14.5" x14ac:dyDescent="0.3">
      <c r="A97" s="203">
        <f t="shared" ca="1" si="5"/>
        <v>0</v>
      </c>
      <c r="B97" s="203"/>
      <c r="C97" s="203"/>
      <c r="D97" s="203"/>
      <c r="E97" s="203"/>
      <c r="F97" s="203"/>
      <c r="G97" s="203" t="str">
        <f t="shared" ca="1" si="1"/>
        <v>Onglet "Male circumcision gap table"</v>
      </c>
      <c r="H97" s="203" t="s">
        <v>107</v>
      </c>
      <c r="I97" s="208" t="s">
        <v>810</v>
      </c>
      <c r="J97" s="203" t="s">
        <v>523</v>
      </c>
      <c r="K97" s="203"/>
      <c r="L97" s="203"/>
      <c r="M97" s="203"/>
      <c r="N97" s="203"/>
      <c r="O97" s="203"/>
      <c r="P97" s="203"/>
      <c r="Q97" s="203"/>
      <c r="R97" s="203"/>
      <c r="S97" s="203"/>
      <c r="T97" s="203"/>
      <c r="U97" s="203"/>
      <c r="V97" s="203"/>
      <c r="W97" s="203"/>
      <c r="X97" s="203"/>
      <c r="Y97" s="203"/>
      <c r="Z97" s="203"/>
      <c r="AA97" s="203"/>
      <c r="AB97" s="203"/>
      <c r="AC97" s="203"/>
      <c r="AD97" s="203"/>
      <c r="AE97" s="203"/>
      <c r="AF97" s="203"/>
      <c r="AG97" s="203"/>
      <c r="AH97" s="203"/>
      <c r="AI97" s="203"/>
      <c r="AJ97" s="17"/>
      <c r="AK97" s="17"/>
      <c r="AL97" s="17"/>
    </row>
    <row r="98" spans="1:38" ht="72.5" x14ac:dyDescent="0.3">
      <c r="A98" s="203">
        <f t="shared" ca="1" si="5"/>
        <v>0</v>
      </c>
      <c r="B98" s="203"/>
      <c r="C98" s="203"/>
      <c r="D98" s="203"/>
      <c r="E98" s="203"/>
      <c r="F98" s="203"/>
      <c r="G98" s="203" t="str">
        <f t="shared" ref="G98:G104" ca="1" si="6">OFFSET($H98,0,LangOffset,1,1)</f>
        <v>Programmes de prévention pour la population générale - circoncision masculine : 
Obligatoires dans les 16 pays prioritaires caractérisés par une forte prévalence du VIH, de faibles niveaux de circoncision masculine et une épidémie généralisée de VIH dans la population hétérosexuelle, à savoir : le Botswana, l'Éthiopie, la République centrafricaine, le Kenya, le Lesotho, le Malawi, le Mozambique, la Namibie, le Rwanda, l'Afrique du Sud, le Soudan du Sud, le Swaziland, l'Ouganda, République-Unie de Tanzanie, la Zambie et le Zimbabwe.</v>
      </c>
      <c r="H98" s="203" t="s">
        <v>358</v>
      </c>
      <c r="I98" s="232" t="s">
        <v>481</v>
      </c>
      <c r="J98" s="226" t="s">
        <v>727</v>
      </c>
      <c r="K98" s="203"/>
      <c r="L98" s="203"/>
      <c r="M98" s="203"/>
      <c r="N98" s="203"/>
      <c r="O98" s="203"/>
      <c r="P98" s="203"/>
      <c r="Q98" s="203"/>
      <c r="R98" s="203"/>
      <c r="S98" s="203"/>
      <c r="T98" s="203"/>
      <c r="U98" s="203"/>
      <c r="V98" s="203"/>
      <c r="W98" s="203"/>
      <c r="X98" s="203"/>
      <c r="Y98" s="203"/>
      <c r="Z98" s="203"/>
      <c r="AA98" s="203"/>
      <c r="AB98" s="203"/>
      <c r="AC98" s="203"/>
      <c r="AD98" s="203"/>
      <c r="AE98" s="203"/>
      <c r="AF98" s="203"/>
      <c r="AG98" s="203"/>
      <c r="AH98" s="203"/>
      <c r="AI98" s="203"/>
      <c r="AJ98" s="17"/>
      <c r="AK98" s="17"/>
      <c r="AL98" s="17"/>
    </row>
    <row r="99" spans="1:38" ht="14.5" x14ac:dyDescent="0.3">
      <c r="A99" s="203">
        <f t="shared" ca="1" si="5"/>
        <v>0</v>
      </c>
      <c r="B99" s="203"/>
      <c r="C99" s="203"/>
      <c r="D99" s="203"/>
      <c r="E99" s="203"/>
      <c r="F99" s="203"/>
      <c r="G99" s="203" t="str">
        <f t="shared" ca="1" si="6"/>
        <v>Indicateur de couverture : nombre de circoncisions médicales pratiquées selon les normes nationales</v>
      </c>
      <c r="H99" s="203" t="s">
        <v>359</v>
      </c>
      <c r="I99" s="203" t="s">
        <v>604</v>
      </c>
      <c r="J99" s="203" t="s">
        <v>438</v>
      </c>
      <c r="K99" s="203"/>
      <c r="L99" s="203"/>
      <c r="M99" s="203"/>
      <c r="N99" s="203"/>
      <c r="O99" s="203"/>
      <c r="P99" s="203"/>
      <c r="Q99" s="203"/>
      <c r="R99" s="203"/>
      <c r="S99" s="203"/>
      <c r="T99" s="203"/>
      <c r="U99" s="203"/>
      <c r="V99" s="203"/>
      <c r="W99" s="203"/>
      <c r="X99" s="203"/>
      <c r="Y99" s="203"/>
      <c r="Z99" s="203"/>
      <c r="AA99" s="203"/>
      <c r="AB99" s="203"/>
      <c r="AC99" s="203"/>
      <c r="AD99" s="203"/>
      <c r="AE99" s="203"/>
      <c r="AF99" s="203"/>
      <c r="AG99" s="203"/>
      <c r="AH99" s="203"/>
      <c r="AI99" s="203"/>
      <c r="AJ99" s="17"/>
      <c r="AK99" s="17"/>
      <c r="AL99" s="17"/>
    </row>
    <row r="100" spans="1:38" ht="14.5" x14ac:dyDescent="0.3">
      <c r="A100" s="203">
        <f t="shared" ca="1" si="5"/>
        <v>0</v>
      </c>
      <c r="B100" s="203"/>
      <c r="C100" s="203"/>
      <c r="D100" s="203"/>
      <c r="E100" s="203"/>
      <c r="F100" s="203"/>
      <c r="G100" s="203" t="str">
        <f t="shared" ca="1" si="6"/>
        <v>Estimation des populations dans le besoin/à risque : 
Correspond au nombre estimé d'hommes qui répondent aux critères de la circoncision</v>
      </c>
      <c r="H100" s="203" t="s">
        <v>41</v>
      </c>
      <c r="I100" s="208" t="s">
        <v>606</v>
      </c>
      <c r="J100" s="203" t="s">
        <v>511</v>
      </c>
      <c r="K100" s="203"/>
      <c r="L100" s="203"/>
      <c r="M100" s="203"/>
      <c r="N100" s="203"/>
      <c r="O100" s="203"/>
      <c r="P100" s="203"/>
      <c r="Q100" s="203"/>
      <c r="R100" s="203"/>
      <c r="S100" s="203"/>
      <c r="T100" s="203"/>
      <c r="U100" s="203"/>
      <c r="V100" s="203"/>
      <c r="W100" s="203"/>
      <c r="X100" s="203"/>
      <c r="Y100" s="203"/>
      <c r="Z100" s="203"/>
      <c r="AA100" s="203"/>
      <c r="AB100" s="203"/>
      <c r="AC100" s="203"/>
      <c r="AD100" s="203"/>
      <c r="AE100" s="203"/>
      <c r="AF100" s="203"/>
      <c r="AG100" s="203"/>
      <c r="AH100" s="203"/>
      <c r="AI100" s="203"/>
      <c r="AJ100" s="17"/>
      <c r="AK100" s="17"/>
      <c r="AL100" s="17"/>
    </row>
    <row r="101" spans="1:38" ht="42" x14ac:dyDescent="0.3">
      <c r="A101" s="203">
        <f t="shared" ca="1" si="5"/>
        <v>0</v>
      </c>
      <c r="B101" s="203"/>
      <c r="C101" s="203"/>
      <c r="D101" s="203"/>
      <c r="E101" s="203"/>
      <c r="F101" s="203"/>
      <c r="G101" s="203" t="str">
        <f t="shared" ca="1" si="6"/>
        <v xml:space="preserve">Cible du pays : 
1) Se rapporte au plan stratégique national ou à toute autre cible du pays approuvée plus récemment.
2) « # » correspond au nombre d'hommes ciblés pour être circoncis </v>
      </c>
      <c r="H101" s="226" t="s">
        <v>828</v>
      </c>
      <c r="I101" s="208" t="s">
        <v>482</v>
      </c>
      <c r="J101" s="203" t="s">
        <v>512</v>
      </c>
      <c r="K101" s="203"/>
      <c r="L101" s="203"/>
      <c r="M101" s="203"/>
      <c r="N101" s="203"/>
      <c r="O101" s="203"/>
      <c r="P101" s="203"/>
      <c r="Q101" s="203"/>
      <c r="R101" s="203"/>
      <c r="S101" s="203"/>
      <c r="T101" s="203"/>
      <c r="U101" s="203"/>
      <c r="V101" s="203"/>
      <c r="W101" s="203"/>
      <c r="X101" s="203"/>
      <c r="Y101" s="203"/>
      <c r="Z101" s="203"/>
      <c r="AA101" s="203"/>
      <c r="AB101" s="203"/>
      <c r="AC101" s="203"/>
      <c r="AD101" s="203"/>
      <c r="AE101" s="203"/>
      <c r="AF101" s="203"/>
      <c r="AG101" s="203"/>
      <c r="AH101" s="203"/>
      <c r="AI101" s="203"/>
      <c r="AJ101" s="17"/>
      <c r="AK101" s="17"/>
      <c r="AL101" s="17"/>
    </row>
    <row r="102" spans="1:38" ht="168" x14ac:dyDescent="0.3">
      <c r="A102" s="203">
        <f t="shared" ca="1" si="5"/>
        <v>0</v>
      </c>
      <c r="B102" s="203"/>
      <c r="C102" s="203"/>
      <c r="D102" s="203"/>
      <c r="E102" s="203"/>
      <c r="F102" s="203"/>
      <c r="G102" s="203" t="str">
        <f t="shared" ca="1" si="6"/>
        <v>Cible nationale déjà couverte :
La cible du pays déjà couverte est ventilée selon l'origine des ressources, ressources nationales (rangée C1) et ressources extérieures (rangée C2). Les investissements du secteur privé national doivent figurer dans les sources nationales. Dans les cas où une partie de la cible est couverte pendant l'année par une subvention en cours du Fonds mondial (se terminant avant le début de la nouvelle période de mise en œuvre), le montant correspondant peut être inclus dans la catégorie des ressources extérieures. 
Une fois les rangées C1 et C2 remplies, le total de la cible nationale déjà couvert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H102" s="226" t="s">
        <v>822</v>
      </c>
      <c r="I102" s="203" t="s">
        <v>608</v>
      </c>
      <c r="J102" s="203" t="s">
        <v>513</v>
      </c>
      <c r="K102" s="203"/>
      <c r="L102" s="203"/>
      <c r="M102" s="203"/>
      <c r="N102" s="203"/>
      <c r="O102" s="203"/>
      <c r="P102" s="203"/>
      <c r="Q102" s="203"/>
      <c r="R102" s="203"/>
      <c r="S102" s="203"/>
      <c r="T102" s="203"/>
      <c r="U102" s="203"/>
      <c r="V102" s="203"/>
      <c r="W102" s="203"/>
      <c r="X102" s="203"/>
      <c r="Y102" s="203"/>
      <c r="Z102" s="203"/>
      <c r="AA102" s="203"/>
      <c r="AB102" s="203"/>
      <c r="AC102" s="203"/>
      <c r="AD102" s="203"/>
      <c r="AE102" s="203"/>
      <c r="AF102" s="203"/>
      <c r="AG102" s="203"/>
      <c r="AH102" s="203"/>
      <c r="AI102" s="203"/>
      <c r="AJ102" s="17"/>
      <c r="AK102" s="17"/>
      <c r="AL102" s="17"/>
    </row>
    <row r="103" spans="1:38" ht="14.5" x14ac:dyDescent="0.3">
      <c r="A103" s="203">
        <f t="shared" ca="1" si="5"/>
        <v>0</v>
      </c>
      <c r="B103" s="203"/>
      <c r="C103" s="203"/>
      <c r="D103" s="203"/>
      <c r="E103" s="203"/>
      <c r="F103" s="203"/>
      <c r="G103" s="203" t="str">
        <f t="shared" ca="1" si="6"/>
        <v>Déficit programmatique :
Le déficit programmatique est calculé à partir de la cible du pays (rangée B).</v>
      </c>
      <c r="H103" s="203" t="s">
        <v>42</v>
      </c>
      <c r="I103" s="208" t="s">
        <v>609</v>
      </c>
      <c r="J103" s="203" t="s">
        <v>589</v>
      </c>
      <c r="K103" s="203"/>
      <c r="L103" s="203"/>
      <c r="M103" s="203"/>
      <c r="N103" s="203"/>
      <c r="O103" s="203"/>
      <c r="P103" s="203"/>
      <c r="Q103" s="203"/>
      <c r="R103" s="203"/>
      <c r="S103" s="203"/>
      <c r="T103" s="203"/>
      <c r="U103" s="203"/>
      <c r="V103" s="203"/>
      <c r="W103" s="203"/>
      <c r="X103" s="203"/>
      <c r="Y103" s="203"/>
      <c r="Z103" s="203"/>
      <c r="AA103" s="203"/>
      <c r="AB103" s="203"/>
      <c r="AC103" s="203"/>
      <c r="AD103" s="203"/>
      <c r="AE103" s="203"/>
      <c r="AF103" s="203"/>
      <c r="AG103" s="203"/>
      <c r="AH103" s="203"/>
      <c r="AI103" s="203"/>
      <c r="AJ103" s="17"/>
      <c r="AK103" s="17"/>
      <c r="AL103" s="17"/>
    </row>
    <row r="104" spans="1:38" ht="14.5" x14ac:dyDescent="0.3">
      <c r="A104" s="203">
        <f t="shared" ca="1" si="5"/>
        <v>0</v>
      </c>
      <c r="B104" s="203"/>
      <c r="C104" s="203"/>
      <c r="D104" s="203"/>
      <c r="E104" s="203"/>
      <c r="F104" s="203"/>
      <c r="G104" s="203" t="str">
        <f t="shared" ca="1" si="6"/>
        <v xml:space="preserve">Observations/Hypothèses :
1) Indiquez la zone cible
2) Précisez qui sont les autres sources de financement
3) Avec les cibles du pays, dans la colonne destinée aux observations, indiquez la proportion d'hommes circoncis (couverture actuelle et ciblée, qui doit inclure le nombre cumulé d'hommes circoncis) à partir des données disponibles provenant d'enquêtes ou de programmes </v>
      </c>
      <c r="H104" s="203" t="s">
        <v>43</v>
      </c>
      <c r="I104" s="208" t="s">
        <v>610</v>
      </c>
      <c r="J104" s="203" t="s">
        <v>439</v>
      </c>
      <c r="K104" s="203"/>
      <c r="L104" s="203"/>
      <c r="M104" s="203"/>
      <c r="N104" s="203"/>
      <c r="O104" s="203"/>
      <c r="P104" s="203"/>
      <c r="Q104" s="203"/>
      <c r="R104" s="203"/>
      <c r="S104" s="203"/>
      <c r="T104" s="203"/>
      <c r="U104" s="203"/>
      <c r="V104" s="203"/>
      <c r="W104" s="203"/>
      <c r="X104" s="203"/>
      <c r="Y104" s="203"/>
      <c r="Z104" s="203"/>
      <c r="AA104" s="203"/>
      <c r="AB104" s="203"/>
      <c r="AC104" s="203"/>
      <c r="AD104" s="203"/>
      <c r="AE104" s="203"/>
      <c r="AF104" s="203"/>
      <c r="AG104" s="203"/>
      <c r="AH104" s="203"/>
      <c r="AI104" s="203"/>
      <c r="AJ104" s="17"/>
      <c r="AK104" s="17"/>
      <c r="AL104" s="17"/>
    </row>
    <row r="105" spans="1:38" x14ac:dyDescent="0.3">
      <c r="A105" s="203">
        <f t="shared" ca="1" si="5"/>
        <v>0</v>
      </c>
      <c r="B105" s="203"/>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c r="AA105" s="203"/>
      <c r="AB105" s="203"/>
      <c r="AC105" s="203"/>
      <c r="AD105" s="203"/>
      <c r="AE105" s="203"/>
      <c r="AF105" s="203"/>
      <c r="AG105" s="203"/>
      <c r="AH105" s="203"/>
      <c r="AI105" s="203"/>
      <c r="AJ105" s="17"/>
      <c r="AK105" s="17"/>
      <c r="AL105" s="17"/>
    </row>
    <row r="106" spans="1:38" ht="14.5" x14ac:dyDescent="0.3">
      <c r="A106" s="203">
        <f t="shared" ca="1" si="5"/>
        <v>0</v>
      </c>
      <c r="B106" s="203"/>
      <c r="C106" s="203"/>
      <c r="D106" s="203"/>
      <c r="E106" s="203"/>
      <c r="F106" s="203"/>
      <c r="G106" s="203" t="str">
        <f ca="1">OFFSET($H106,0,LangOffset,1,1)</f>
        <v>Veuillez lire attentivement la feuille Instructions avant de compléter le tableau d'analyse des déficits programmatiques.</v>
      </c>
      <c r="H106" s="203" t="s">
        <v>103</v>
      </c>
      <c r="I106" s="203" t="s">
        <v>611</v>
      </c>
      <c r="J106" s="203" t="s">
        <v>514</v>
      </c>
      <c r="K106" s="203"/>
      <c r="L106" s="203"/>
      <c r="M106" s="203"/>
      <c r="N106" s="203"/>
      <c r="O106" s="203"/>
      <c r="P106" s="203"/>
      <c r="Q106" s="203"/>
      <c r="R106" s="203"/>
      <c r="S106" s="203"/>
      <c r="T106" s="203"/>
      <c r="U106" s="203"/>
      <c r="V106" s="203"/>
      <c r="W106" s="203"/>
      <c r="X106" s="203"/>
      <c r="Y106" s="203"/>
      <c r="Z106" s="203"/>
      <c r="AA106" s="203"/>
      <c r="AB106" s="203"/>
      <c r="AC106" s="203"/>
      <c r="AD106" s="203"/>
      <c r="AE106" s="203"/>
      <c r="AF106" s="203"/>
      <c r="AG106" s="203"/>
      <c r="AH106" s="203"/>
      <c r="AI106" s="203"/>
      <c r="AJ106" s="17"/>
      <c r="AK106" s="17"/>
      <c r="AL106" s="17"/>
    </row>
    <row r="107" spans="1:38" ht="14.5" x14ac:dyDescent="0.3">
      <c r="A107" s="203">
        <f t="shared" ca="1" si="5"/>
        <v>0</v>
      </c>
      <c r="B107" s="203"/>
      <c r="C107" s="203"/>
      <c r="D107" s="203"/>
      <c r="E107" s="203"/>
      <c r="F107" s="203"/>
      <c r="G107" s="203" t="str">
        <f ca="1">OFFSET($H107,0,LangOffset,1,1)</f>
        <v>Pour remplir cette feuille de présentation, sélectionnez un lieu géographique et un type de candidat dans les listes déroulantes.</v>
      </c>
      <c r="H107" s="203" t="s">
        <v>104</v>
      </c>
      <c r="I107" s="203" t="s">
        <v>612</v>
      </c>
      <c r="J107" s="203" t="s">
        <v>515</v>
      </c>
      <c r="K107" s="203"/>
      <c r="L107" s="203"/>
      <c r="M107" s="203"/>
      <c r="N107" s="203"/>
      <c r="O107" s="203"/>
      <c r="P107" s="203"/>
      <c r="Q107" s="203"/>
      <c r="R107" s="203"/>
      <c r="S107" s="203"/>
      <c r="T107" s="203"/>
      <c r="U107" s="203"/>
      <c r="V107" s="203"/>
      <c r="W107" s="203"/>
      <c r="X107" s="203"/>
      <c r="Y107" s="203"/>
      <c r="Z107" s="203"/>
      <c r="AA107" s="203"/>
      <c r="AB107" s="203"/>
      <c r="AC107" s="203"/>
      <c r="AD107" s="203"/>
      <c r="AE107" s="203"/>
      <c r="AF107" s="203"/>
      <c r="AG107" s="203"/>
      <c r="AH107" s="203"/>
      <c r="AI107" s="203"/>
      <c r="AJ107" s="17"/>
      <c r="AK107" s="17"/>
      <c r="AL107" s="17"/>
    </row>
    <row r="108" spans="1:38" ht="14.5" x14ac:dyDescent="0.3">
      <c r="A108" s="203">
        <f t="shared" ca="1" si="5"/>
        <v>0</v>
      </c>
      <c r="B108" s="203"/>
      <c r="C108" s="203"/>
      <c r="D108" s="203"/>
      <c r="E108" s="203"/>
      <c r="F108" s="203"/>
      <c r="G108" s="203" t="str">
        <f ca="1">OFFSET($H108,0,LangOffset,1,1)</f>
        <v>Candidat</v>
      </c>
      <c r="H108" s="203" t="s">
        <v>110</v>
      </c>
      <c r="I108" s="203" t="s">
        <v>613</v>
      </c>
      <c r="J108" s="203" t="s">
        <v>440</v>
      </c>
      <c r="K108" s="206"/>
      <c r="L108" s="203"/>
      <c r="M108" s="203"/>
      <c r="N108" s="203"/>
      <c r="O108" s="203"/>
      <c r="P108" s="203"/>
      <c r="Q108" s="203"/>
      <c r="R108" s="203"/>
      <c r="S108" s="203"/>
      <c r="T108" s="203"/>
      <c r="U108" s="203"/>
      <c r="V108" s="203"/>
      <c r="W108" s="203"/>
      <c r="X108" s="203"/>
      <c r="Y108" s="203"/>
      <c r="Z108" s="203"/>
      <c r="AA108" s="203"/>
      <c r="AB108" s="203"/>
      <c r="AC108" s="203"/>
      <c r="AD108" s="203"/>
      <c r="AE108" s="203"/>
      <c r="AF108" s="203"/>
      <c r="AG108" s="203"/>
      <c r="AH108" s="203"/>
      <c r="AI108" s="203"/>
      <c r="AJ108" s="17"/>
      <c r="AK108" s="17"/>
      <c r="AL108" s="17"/>
    </row>
    <row r="109" spans="1:38" ht="14.5" x14ac:dyDescent="0.3">
      <c r="A109" s="203">
        <f t="shared" ca="1" si="5"/>
        <v>0</v>
      </c>
      <c r="B109" s="203"/>
      <c r="C109" s="203"/>
      <c r="D109" s="203"/>
      <c r="E109" s="203"/>
      <c r="F109" s="203"/>
      <c r="G109" s="203" t="str">
        <f ca="1">OFFSET($H109,0,LangOffset,1,1)</f>
        <v>Composante</v>
      </c>
      <c r="H109" s="203" t="s">
        <v>79</v>
      </c>
      <c r="I109" s="203" t="s">
        <v>614</v>
      </c>
      <c r="J109" s="203" t="s">
        <v>441</v>
      </c>
      <c r="K109" s="206"/>
      <c r="L109" s="203"/>
      <c r="M109" s="203"/>
      <c r="N109" s="203"/>
      <c r="O109" s="203"/>
      <c r="P109" s="203"/>
      <c r="Q109" s="203"/>
      <c r="R109" s="203"/>
      <c r="S109" s="203"/>
      <c r="T109" s="203"/>
      <c r="U109" s="203"/>
      <c r="V109" s="203"/>
      <c r="W109" s="203"/>
      <c r="X109" s="203"/>
      <c r="Y109" s="203"/>
      <c r="Z109" s="203"/>
      <c r="AA109" s="203"/>
      <c r="AB109" s="203"/>
      <c r="AC109" s="203"/>
      <c r="AD109" s="203"/>
      <c r="AE109" s="203"/>
      <c r="AF109" s="203"/>
      <c r="AG109" s="203"/>
      <c r="AH109" s="203"/>
      <c r="AI109" s="203"/>
      <c r="AJ109" s="17"/>
      <c r="AK109" s="17"/>
      <c r="AL109" s="17"/>
    </row>
    <row r="110" spans="1:38" ht="14.5" x14ac:dyDescent="0.3">
      <c r="A110" s="203">
        <f t="shared" ca="1" si="5"/>
        <v>0</v>
      </c>
      <c r="B110" s="203"/>
      <c r="C110" s="203"/>
      <c r="D110" s="203"/>
      <c r="E110" s="203"/>
      <c r="F110" s="203"/>
      <c r="G110" s="203" t="str">
        <f ca="1">OFFSET($H110,0,LangOffset,1,1)</f>
        <v>Type de candidat</v>
      </c>
      <c r="H110" s="203" t="s">
        <v>80</v>
      </c>
      <c r="I110" s="203" t="s">
        <v>615</v>
      </c>
      <c r="J110" s="203" t="s">
        <v>442</v>
      </c>
      <c r="K110" s="206"/>
      <c r="L110" s="203"/>
      <c r="M110" s="203"/>
      <c r="N110" s="203"/>
      <c r="O110" s="203"/>
      <c r="P110" s="203"/>
      <c r="Q110" s="203"/>
      <c r="R110" s="203"/>
      <c r="S110" s="203"/>
      <c r="T110" s="203"/>
      <c r="U110" s="203"/>
      <c r="V110" s="203"/>
      <c r="W110" s="203"/>
      <c r="X110" s="203"/>
      <c r="Y110" s="203"/>
      <c r="Z110" s="203"/>
      <c r="AA110" s="203"/>
      <c r="AB110" s="203"/>
      <c r="AC110" s="203"/>
      <c r="AD110" s="203"/>
      <c r="AE110" s="203"/>
      <c r="AF110" s="203"/>
      <c r="AG110" s="203"/>
      <c r="AH110" s="203"/>
      <c r="AI110" s="203"/>
      <c r="AJ110" s="17"/>
      <c r="AK110" s="17"/>
      <c r="AL110" s="17"/>
    </row>
    <row r="111" spans="1:38" x14ac:dyDescent="0.3">
      <c r="A111" s="203">
        <f t="shared" ref="A111:A119" ca="1" si="7">OFFSET($B111,0,LangOffset,1,1)</f>
        <v>0</v>
      </c>
      <c r="B111" s="203"/>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c r="AA111" s="203"/>
      <c r="AB111" s="203"/>
      <c r="AC111" s="203"/>
      <c r="AD111" s="203"/>
      <c r="AE111" s="203"/>
      <c r="AF111" s="203"/>
      <c r="AG111" s="203"/>
      <c r="AH111" s="203"/>
      <c r="AI111" s="203"/>
      <c r="AJ111" s="17"/>
      <c r="AK111" s="17"/>
      <c r="AL111" s="17"/>
    </row>
    <row r="112" spans="1:38" x14ac:dyDescent="0.3">
      <c r="A112" s="203">
        <f t="shared" ca="1" si="7"/>
        <v>0</v>
      </c>
      <c r="B112" s="203"/>
      <c r="C112" s="203"/>
      <c r="D112" s="203"/>
      <c r="E112" s="203"/>
      <c r="F112" s="203"/>
      <c r="G112" s="203">
        <f t="shared" ca="1" si="1"/>
        <v>0</v>
      </c>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3"/>
      <c r="AF112" s="203"/>
      <c r="AG112" s="203"/>
      <c r="AH112" s="203"/>
      <c r="AI112" s="203"/>
      <c r="AJ112" s="17"/>
      <c r="AK112" s="17"/>
      <c r="AL112" s="17"/>
    </row>
    <row r="113" spans="1:38" x14ac:dyDescent="0.3">
      <c r="A113" s="203">
        <f t="shared" ca="1" si="7"/>
        <v>0</v>
      </c>
      <c r="B113" s="203"/>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c r="AA113" s="203"/>
      <c r="AB113" s="203"/>
      <c r="AC113" s="203"/>
      <c r="AD113" s="203"/>
      <c r="AE113" s="203"/>
      <c r="AF113" s="203"/>
      <c r="AG113" s="203"/>
      <c r="AH113" s="203"/>
      <c r="AI113" s="203"/>
      <c r="AJ113" s="17"/>
      <c r="AK113" s="17"/>
      <c r="AL113" s="17"/>
    </row>
    <row r="114" spans="1:38" ht="14.5" x14ac:dyDescent="0.3">
      <c r="A114" s="203">
        <f t="shared" ca="1" si="7"/>
        <v>0</v>
      </c>
      <c r="B114" s="203"/>
      <c r="C114" s="203"/>
      <c r="D114" s="203"/>
      <c r="E114" s="203"/>
      <c r="F114" s="203"/>
      <c r="G114" s="203" t="str">
        <f ca="1">OFFSET($H114,0,LangOffset,1,1)</f>
        <v xml:space="preserve">Veuillez lire attentivement les consignes données dans l'onglet « Instructions » avant de compléter le tableau d'analyse des déficits programmatiques. 
Les instructions ont été adaptées à chaque module/intervention. </v>
      </c>
      <c r="H114" s="203" t="s">
        <v>72</v>
      </c>
      <c r="I114" s="203" t="s">
        <v>616</v>
      </c>
      <c r="J114" s="204" t="s">
        <v>617</v>
      </c>
      <c r="K114" s="203"/>
      <c r="L114" s="203"/>
      <c r="M114" s="203"/>
      <c r="N114" s="203"/>
      <c r="O114" s="203"/>
      <c r="P114" s="203"/>
      <c r="Q114" s="203"/>
      <c r="R114" s="203"/>
      <c r="S114" s="203"/>
      <c r="T114" s="203"/>
      <c r="U114" s="203"/>
      <c r="V114" s="203"/>
      <c r="W114" s="203"/>
      <c r="X114" s="203"/>
      <c r="Y114" s="203"/>
      <c r="Z114" s="203"/>
      <c r="AA114" s="203"/>
      <c r="AB114" s="203"/>
      <c r="AC114" s="203"/>
      <c r="AD114" s="203"/>
      <c r="AE114" s="203"/>
      <c r="AF114" s="203"/>
      <c r="AG114" s="203"/>
      <c r="AH114" s="203"/>
      <c r="AI114" s="203"/>
      <c r="AJ114" s="17"/>
      <c r="AK114" s="17"/>
      <c r="AL114" s="17"/>
    </row>
    <row r="115" spans="1:38" x14ac:dyDescent="0.3">
      <c r="A115" s="203">
        <f t="shared" ca="1" si="7"/>
        <v>0</v>
      </c>
      <c r="B115" s="203"/>
      <c r="C115" s="203"/>
      <c r="D115" s="203"/>
      <c r="E115" s="203"/>
      <c r="F115" s="203"/>
      <c r="G115" s="203"/>
      <c r="H115" s="203"/>
      <c r="I115" s="203"/>
      <c r="J115" s="203"/>
      <c r="K115" s="203"/>
      <c r="L115" s="203"/>
      <c r="M115" s="203"/>
      <c r="N115" s="203"/>
      <c r="O115" s="203"/>
      <c r="P115" s="203"/>
      <c r="Q115" s="203"/>
      <c r="R115" s="203"/>
      <c r="S115" s="203"/>
      <c r="T115" s="203"/>
      <c r="U115" s="203"/>
      <c r="V115" s="203"/>
      <c r="W115" s="203"/>
      <c r="X115" s="203"/>
      <c r="Y115" s="203"/>
      <c r="Z115" s="203"/>
      <c r="AA115" s="203"/>
      <c r="AB115" s="203"/>
      <c r="AC115" s="203"/>
      <c r="AD115" s="203"/>
      <c r="AE115" s="203"/>
      <c r="AF115" s="203"/>
      <c r="AG115" s="203"/>
      <c r="AH115" s="203"/>
      <c r="AI115" s="203"/>
      <c r="AJ115" s="17"/>
      <c r="AK115" s="17"/>
      <c r="AL115" s="17"/>
    </row>
    <row r="116" spans="1:38" x14ac:dyDescent="0.3">
      <c r="A116" s="203">
        <f t="shared" ca="1" si="7"/>
        <v>0</v>
      </c>
      <c r="B116" s="203"/>
      <c r="C116" s="203"/>
      <c r="D116" s="203"/>
      <c r="E116" s="203"/>
      <c r="F116" s="203"/>
      <c r="G116" s="203" t="str">
        <f t="shared" ref="G116:G159" ca="1" si="8">OFFSET($H116,0,LangOffset,1,1)</f>
        <v>Dernière version mise à jour mars 2020</v>
      </c>
      <c r="H116" s="210" t="s">
        <v>1147</v>
      </c>
      <c r="I116" s="203" t="s">
        <v>1146</v>
      </c>
      <c r="J116" s="203" t="s">
        <v>1145</v>
      </c>
      <c r="K116" s="203"/>
      <c r="L116" s="203"/>
      <c r="M116" s="203"/>
      <c r="N116" s="203"/>
      <c r="O116" s="203"/>
      <c r="P116" s="203"/>
      <c r="Q116" s="203"/>
      <c r="R116" s="203"/>
      <c r="S116" s="203"/>
      <c r="T116" s="203"/>
      <c r="U116" s="203"/>
      <c r="V116" s="203"/>
      <c r="W116" s="203"/>
      <c r="X116" s="203"/>
      <c r="Y116" s="203"/>
      <c r="Z116" s="203"/>
      <c r="AA116" s="203"/>
      <c r="AB116" s="203"/>
      <c r="AC116" s="203"/>
      <c r="AD116" s="203"/>
      <c r="AE116" s="203"/>
      <c r="AF116" s="203"/>
      <c r="AG116" s="203"/>
      <c r="AH116" s="203"/>
      <c r="AI116" s="203"/>
      <c r="AJ116" s="17"/>
      <c r="AK116" s="17"/>
      <c r="AL116" s="17"/>
    </row>
    <row r="117" spans="1:38" x14ac:dyDescent="0.3">
      <c r="A117" s="203">
        <f t="shared" ca="1" si="7"/>
        <v>0</v>
      </c>
      <c r="B117" s="203"/>
      <c r="C117" s="203"/>
      <c r="D117" s="203"/>
      <c r="E117" s="203"/>
      <c r="F117" s="203"/>
      <c r="G117" s="203">
        <f t="shared" ca="1" si="8"/>
        <v>0</v>
      </c>
      <c r="H117" s="203"/>
      <c r="I117" s="203"/>
      <c r="J117" s="203"/>
      <c r="K117" s="203"/>
      <c r="L117" s="203"/>
      <c r="M117" s="203"/>
      <c r="N117" s="203"/>
      <c r="O117" s="203"/>
      <c r="P117" s="203"/>
      <c r="Q117" s="203"/>
      <c r="R117" s="203"/>
      <c r="S117" s="203"/>
      <c r="T117" s="203"/>
      <c r="U117" s="203"/>
      <c r="V117" s="203"/>
      <c r="W117" s="203"/>
      <c r="X117" s="203"/>
      <c r="Y117" s="203"/>
      <c r="Z117" s="203"/>
      <c r="AA117" s="203"/>
      <c r="AB117" s="203"/>
      <c r="AC117" s="203"/>
      <c r="AD117" s="203"/>
      <c r="AE117" s="203"/>
      <c r="AF117" s="203"/>
      <c r="AG117" s="203"/>
      <c r="AH117" s="203"/>
      <c r="AI117" s="203"/>
      <c r="AJ117" s="17"/>
      <c r="AK117" s="17"/>
      <c r="AL117" s="17"/>
    </row>
    <row r="118" spans="1:38" x14ac:dyDescent="0.3">
      <c r="A118" s="203">
        <f t="shared" ca="1" si="7"/>
        <v>0</v>
      </c>
      <c r="B118" s="203"/>
      <c r="C118" s="203"/>
      <c r="D118" s="203"/>
      <c r="E118" s="203"/>
      <c r="F118" s="203"/>
      <c r="G118" s="203">
        <f t="shared" ca="1" si="8"/>
        <v>0</v>
      </c>
      <c r="H118" s="203"/>
      <c r="I118" s="203"/>
      <c r="J118" s="203"/>
      <c r="K118" s="203"/>
      <c r="L118" s="203"/>
      <c r="M118" s="203"/>
      <c r="N118" s="203"/>
      <c r="O118" s="203"/>
      <c r="P118" s="203"/>
      <c r="Q118" s="203"/>
      <c r="R118" s="203"/>
      <c r="S118" s="203"/>
      <c r="T118" s="203"/>
      <c r="U118" s="203"/>
      <c r="V118" s="203"/>
      <c r="W118" s="203"/>
      <c r="X118" s="203"/>
      <c r="Y118" s="203"/>
      <c r="Z118" s="203"/>
      <c r="AA118" s="203"/>
      <c r="AB118" s="203"/>
      <c r="AC118" s="203"/>
      <c r="AD118" s="203"/>
      <c r="AE118" s="203"/>
      <c r="AF118" s="203"/>
      <c r="AG118" s="203"/>
      <c r="AH118" s="203"/>
      <c r="AI118" s="203"/>
      <c r="AJ118" s="17"/>
      <c r="AK118" s="17"/>
      <c r="AL118" s="17"/>
    </row>
    <row r="119" spans="1:38" x14ac:dyDescent="0.3">
      <c r="A119" s="203">
        <f t="shared" ca="1" si="7"/>
        <v>0</v>
      </c>
      <c r="B119" s="203"/>
      <c r="C119" s="203"/>
      <c r="D119" s="203"/>
      <c r="E119" s="203"/>
      <c r="F119" s="203"/>
      <c r="G119" s="203">
        <f t="shared" ca="1" si="8"/>
        <v>0</v>
      </c>
      <c r="H119" s="203"/>
      <c r="I119" s="203"/>
      <c r="J119" s="203"/>
      <c r="K119" s="203"/>
      <c r="L119" s="203"/>
      <c r="M119" s="203"/>
      <c r="N119" s="203"/>
      <c r="O119" s="203"/>
      <c r="P119" s="203"/>
      <c r="Q119" s="203"/>
      <c r="R119" s="203"/>
      <c r="S119" s="203"/>
      <c r="T119" s="203"/>
      <c r="U119" s="203"/>
      <c r="V119" s="203"/>
      <c r="W119" s="203"/>
      <c r="X119" s="203"/>
      <c r="Y119" s="203"/>
      <c r="Z119" s="203"/>
      <c r="AA119" s="203"/>
      <c r="AB119" s="203"/>
      <c r="AC119" s="203"/>
      <c r="AD119" s="203"/>
      <c r="AE119" s="203"/>
      <c r="AF119" s="203"/>
      <c r="AG119" s="203"/>
      <c r="AH119" s="203"/>
      <c r="AI119" s="203"/>
      <c r="AJ119" s="17"/>
      <c r="AK119" s="17"/>
      <c r="AL119" s="17"/>
    </row>
    <row r="120" spans="1:38" x14ac:dyDescent="0.3">
      <c r="A120" s="203">
        <f t="shared" ref="A120:A183" ca="1" si="9">OFFSET($B120,0,LangOffset,1,1)</f>
        <v>0</v>
      </c>
      <c r="B120" s="203"/>
      <c r="C120" s="203"/>
      <c r="D120" s="203"/>
      <c r="E120" s="203"/>
      <c r="F120" s="203"/>
      <c r="G120" s="203">
        <f t="shared" ca="1" si="8"/>
        <v>0</v>
      </c>
      <c r="H120" s="203"/>
      <c r="I120" s="203"/>
      <c r="J120" s="203"/>
      <c r="K120" s="203"/>
      <c r="L120" s="203"/>
      <c r="M120" s="203"/>
      <c r="N120" s="203"/>
      <c r="O120" s="203"/>
      <c r="P120" s="203"/>
      <c r="Q120" s="203"/>
      <c r="R120" s="203"/>
      <c r="S120" s="203"/>
      <c r="T120" s="203"/>
      <c r="U120" s="203"/>
      <c r="V120" s="203"/>
      <c r="W120" s="203"/>
      <c r="X120" s="203"/>
      <c r="Y120" s="203"/>
      <c r="Z120" s="203"/>
      <c r="AA120" s="203"/>
      <c r="AB120" s="203"/>
      <c r="AC120" s="203"/>
      <c r="AD120" s="203"/>
      <c r="AE120" s="203"/>
      <c r="AF120" s="203"/>
      <c r="AG120" s="203"/>
      <c r="AH120" s="203"/>
      <c r="AI120" s="203"/>
      <c r="AJ120" s="17"/>
      <c r="AK120" s="17"/>
      <c r="AL120" s="17"/>
    </row>
    <row r="121" spans="1:38" x14ac:dyDescent="0.3">
      <c r="A121" s="203">
        <f t="shared" ca="1" si="9"/>
        <v>0</v>
      </c>
      <c r="B121" s="203"/>
      <c r="C121" s="203"/>
      <c r="D121" s="203"/>
      <c r="E121" s="203"/>
      <c r="F121" s="203"/>
      <c r="G121" s="203">
        <f t="shared" ca="1" si="8"/>
        <v>0</v>
      </c>
      <c r="H121" s="203"/>
      <c r="I121" s="203"/>
      <c r="J121" s="203"/>
      <c r="K121" s="203"/>
      <c r="L121" s="203"/>
      <c r="M121" s="203"/>
      <c r="N121" s="203"/>
      <c r="O121" s="203"/>
      <c r="P121" s="203"/>
      <c r="Q121" s="203"/>
      <c r="R121" s="203"/>
      <c r="S121" s="203"/>
      <c r="T121" s="203"/>
      <c r="U121" s="203"/>
      <c r="V121" s="203"/>
      <c r="W121" s="203"/>
      <c r="X121" s="203"/>
      <c r="Y121" s="203"/>
      <c r="Z121" s="203"/>
      <c r="AA121" s="203"/>
      <c r="AB121" s="203"/>
      <c r="AC121" s="203"/>
      <c r="AD121" s="203"/>
      <c r="AE121" s="203"/>
      <c r="AF121" s="203"/>
      <c r="AG121" s="203"/>
      <c r="AH121" s="203"/>
      <c r="AI121" s="203"/>
      <c r="AJ121" s="17"/>
      <c r="AK121" s="17"/>
      <c r="AL121" s="17"/>
    </row>
    <row r="122" spans="1:38" x14ac:dyDescent="0.3">
      <c r="A122" s="203">
        <f t="shared" ca="1" si="9"/>
        <v>0</v>
      </c>
      <c r="B122" s="203"/>
      <c r="C122" s="203"/>
      <c r="D122" s="203"/>
      <c r="E122" s="203"/>
      <c r="F122" s="203"/>
      <c r="G122" s="203">
        <f t="shared" ca="1" si="8"/>
        <v>0</v>
      </c>
      <c r="H122" s="203"/>
      <c r="I122" s="203"/>
      <c r="J122" s="203"/>
      <c r="K122" s="203"/>
      <c r="L122" s="203"/>
      <c r="M122" s="203"/>
      <c r="N122" s="203"/>
      <c r="O122" s="203"/>
      <c r="P122" s="203"/>
      <c r="Q122" s="203"/>
      <c r="R122" s="203"/>
      <c r="S122" s="203"/>
      <c r="T122" s="203"/>
      <c r="U122" s="203"/>
      <c r="V122" s="203"/>
      <c r="W122" s="203"/>
      <c r="X122" s="203"/>
      <c r="Y122" s="203"/>
      <c r="Z122" s="203"/>
      <c r="AA122" s="203"/>
      <c r="AB122" s="203"/>
      <c r="AC122" s="203"/>
      <c r="AD122" s="203"/>
      <c r="AE122" s="203"/>
      <c r="AF122" s="203"/>
      <c r="AG122" s="203"/>
      <c r="AH122" s="203"/>
      <c r="AI122" s="203"/>
      <c r="AJ122" s="17"/>
      <c r="AK122" s="17"/>
      <c r="AL122" s="17"/>
    </row>
    <row r="123" spans="1:38" x14ac:dyDescent="0.3">
      <c r="A123" s="203">
        <f t="shared" ca="1" si="9"/>
        <v>0</v>
      </c>
      <c r="B123" s="203"/>
      <c r="C123" s="203"/>
      <c r="D123" s="203"/>
      <c r="E123" s="203"/>
      <c r="F123" s="203"/>
      <c r="G123" s="203">
        <f t="shared" ca="1" si="8"/>
        <v>0</v>
      </c>
      <c r="H123" s="203"/>
      <c r="I123" s="203"/>
      <c r="J123" s="203"/>
      <c r="K123" s="203"/>
      <c r="L123" s="203"/>
      <c r="M123" s="203"/>
      <c r="N123" s="203"/>
      <c r="O123" s="203"/>
      <c r="P123" s="203"/>
      <c r="Q123" s="203"/>
      <c r="R123" s="203"/>
      <c r="S123" s="203"/>
      <c r="T123" s="203"/>
      <c r="U123" s="203"/>
      <c r="V123" s="203"/>
      <c r="W123" s="203"/>
      <c r="X123" s="203"/>
      <c r="Y123" s="203"/>
      <c r="Z123" s="203"/>
      <c r="AA123" s="203"/>
      <c r="AB123" s="203"/>
      <c r="AC123" s="203"/>
      <c r="AD123" s="203"/>
      <c r="AE123" s="203"/>
      <c r="AF123" s="203"/>
      <c r="AG123" s="203"/>
      <c r="AH123" s="203"/>
      <c r="AI123" s="203"/>
      <c r="AJ123" s="17"/>
      <c r="AK123" s="17"/>
      <c r="AL123" s="17"/>
    </row>
    <row r="124" spans="1:38" x14ac:dyDescent="0.3">
      <c r="A124" s="203">
        <f t="shared" ca="1" si="9"/>
        <v>0</v>
      </c>
      <c r="B124" s="203"/>
      <c r="C124" s="203"/>
      <c r="D124" s="203"/>
      <c r="E124" s="203"/>
      <c r="F124" s="203"/>
      <c r="G124" s="203">
        <f t="shared" ca="1" si="8"/>
        <v>0</v>
      </c>
      <c r="H124" s="203"/>
      <c r="I124" s="203"/>
      <c r="J124" s="203"/>
      <c r="K124" s="203"/>
      <c r="L124" s="203"/>
      <c r="M124" s="203"/>
      <c r="N124" s="203"/>
      <c r="O124" s="203"/>
      <c r="P124" s="203"/>
      <c r="Q124" s="203"/>
      <c r="R124" s="203"/>
      <c r="S124" s="203"/>
      <c r="T124" s="203"/>
      <c r="U124" s="203"/>
      <c r="V124" s="203"/>
      <c r="W124" s="203"/>
      <c r="X124" s="203"/>
      <c r="Y124" s="203"/>
      <c r="Z124" s="203"/>
      <c r="AA124" s="203"/>
      <c r="AB124" s="203"/>
      <c r="AC124" s="203"/>
      <c r="AD124" s="203"/>
      <c r="AE124" s="203"/>
      <c r="AF124" s="203"/>
      <c r="AG124" s="203"/>
      <c r="AH124" s="203"/>
      <c r="AI124" s="203"/>
      <c r="AJ124" s="17"/>
      <c r="AK124" s="17"/>
      <c r="AL124" s="17"/>
    </row>
    <row r="125" spans="1:38" x14ac:dyDescent="0.3">
      <c r="A125" s="203">
        <f t="shared" ca="1" si="9"/>
        <v>0</v>
      </c>
      <c r="B125" s="203"/>
      <c r="C125" s="203"/>
      <c r="D125" s="203"/>
      <c r="E125" s="203"/>
      <c r="F125" s="203"/>
      <c r="G125" s="203">
        <f t="shared" ca="1" si="8"/>
        <v>0</v>
      </c>
      <c r="H125" s="203"/>
      <c r="I125" s="203"/>
      <c r="J125" s="203"/>
      <c r="K125" s="203"/>
      <c r="L125" s="203"/>
      <c r="M125" s="203"/>
      <c r="N125" s="203"/>
      <c r="O125" s="203"/>
      <c r="P125" s="203"/>
      <c r="Q125" s="203"/>
      <c r="R125" s="203"/>
      <c r="S125" s="203"/>
      <c r="T125" s="203"/>
      <c r="U125" s="203"/>
      <c r="V125" s="203"/>
      <c r="W125" s="203"/>
      <c r="X125" s="203"/>
      <c r="Y125" s="203"/>
      <c r="Z125" s="203"/>
      <c r="AA125" s="203"/>
      <c r="AB125" s="203"/>
      <c r="AC125" s="203"/>
      <c r="AD125" s="203"/>
      <c r="AE125" s="203"/>
      <c r="AF125" s="203"/>
      <c r="AG125" s="203"/>
      <c r="AH125" s="203"/>
      <c r="AI125" s="203"/>
      <c r="AJ125" s="17"/>
      <c r="AK125" s="17"/>
      <c r="AL125" s="17"/>
    </row>
    <row r="126" spans="1:38" x14ac:dyDescent="0.3">
      <c r="A126" s="203">
        <f t="shared" ca="1" si="9"/>
        <v>0</v>
      </c>
      <c r="B126" s="203"/>
      <c r="C126" s="203"/>
      <c r="D126" s="203"/>
      <c r="E126" s="203"/>
      <c r="F126" s="203"/>
      <c r="G126" s="203">
        <f t="shared" ca="1" si="8"/>
        <v>0</v>
      </c>
      <c r="H126" s="203"/>
      <c r="I126" s="203"/>
      <c r="J126" s="203"/>
      <c r="K126" s="203"/>
      <c r="L126" s="203"/>
      <c r="M126" s="203"/>
      <c r="N126" s="203"/>
      <c r="O126" s="203"/>
      <c r="P126" s="203"/>
      <c r="Q126" s="203"/>
      <c r="R126" s="203"/>
      <c r="S126" s="203"/>
      <c r="T126" s="203"/>
      <c r="U126" s="203"/>
      <c r="V126" s="203"/>
      <c r="W126" s="203"/>
      <c r="X126" s="203"/>
      <c r="Y126" s="203"/>
      <c r="Z126" s="203"/>
      <c r="AA126" s="203"/>
      <c r="AB126" s="203"/>
      <c r="AC126" s="203"/>
      <c r="AD126" s="203"/>
      <c r="AE126" s="203"/>
      <c r="AF126" s="203"/>
      <c r="AG126" s="203"/>
      <c r="AH126" s="203"/>
      <c r="AI126" s="203"/>
      <c r="AJ126" s="17"/>
      <c r="AK126" s="17"/>
      <c r="AL126" s="17"/>
    </row>
    <row r="127" spans="1:38" x14ac:dyDescent="0.3">
      <c r="A127" s="203">
        <f t="shared" ca="1" si="9"/>
        <v>0</v>
      </c>
      <c r="B127" s="203"/>
      <c r="C127" s="203"/>
      <c r="D127" s="203"/>
      <c r="E127" s="203"/>
      <c r="F127" s="203"/>
      <c r="G127" s="203">
        <f t="shared" ca="1" si="8"/>
        <v>0</v>
      </c>
      <c r="H127" s="203"/>
      <c r="I127" s="203"/>
      <c r="J127" s="203"/>
      <c r="K127" s="203"/>
      <c r="L127" s="203"/>
      <c r="M127" s="203"/>
      <c r="N127" s="203"/>
      <c r="O127" s="203"/>
      <c r="P127" s="203"/>
      <c r="Q127" s="203"/>
      <c r="R127" s="203"/>
      <c r="S127" s="203"/>
      <c r="T127" s="203"/>
      <c r="U127" s="203"/>
      <c r="V127" s="203"/>
      <c r="W127" s="203"/>
      <c r="X127" s="203"/>
      <c r="Y127" s="203"/>
      <c r="Z127" s="203"/>
      <c r="AA127" s="203"/>
      <c r="AB127" s="203"/>
      <c r="AC127" s="203"/>
      <c r="AD127" s="203"/>
      <c r="AE127" s="203"/>
      <c r="AF127" s="203"/>
      <c r="AG127" s="203"/>
      <c r="AH127" s="203"/>
      <c r="AI127" s="203"/>
      <c r="AJ127" s="17"/>
      <c r="AK127" s="17"/>
      <c r="AL127" s="17"/>
    </row>
    <row r="128" spans="1:38" x14ac:dyDescent="0.3">
      <c r="A128" s="203">
        <f t="shared" ca="1" si="9"/>
        <v>0</v>
      </c>
      <c r="B128" s="203"/>
      <c r="C128" s="203"/>
      <c r="D128" s="203"/>
      <c r="E128" s="203"/>
      <c r="F128" s="203"/>
      <c r="G128" s="203">
        <f t="shared" ca="1" si="8"/>
        <v>0</v>
      </c>
      <c r="H128" s="203"/>
      <c r="I128" s="203"/>
      <c r="J128" s="203"/>
      <c r="K128" s="203"/>
      <c r="L128" s="203"/>
      <c r="M128" s="203"/>
      <c r="N128" s="203"/>
      <c r="O128" s="203"/>
      <c r="P128" s="203"/>
      <c r="Q128" s="203"/>
      <c r="R128" s="203"/>
      <c r="S128" s="203"/>
      <c r="T128" s="203"/>
      <c r="U128" s="203"/>
      <c r="V128" s="203"/>
      <c r="W128" s="203"/>
      <c r="X128" s="203"/>
      <c r="Y128" s="203"/>
      <c r="Z128" s="203"/>
      <c r="AA128" s="203"/>
      <c r="AB128" s="203"/>
      <c r="AC128" s="203"/>
      <c r="AD128" s="203"/>
      <c r="AE128" s="203"/>
      <c r="AF128" s="203"/>
      <c r="AG128" s="203"/>
      <c r="AH128" s="203"/>
      <c r="AI128" s="203"/>
      <c r="AJ128" s="17"/>
      <c r="AK128" s="17"/>
      <c r="AL128" s="17"/>
    </row>
    <row r="129" spans="1:38" x14ac:dyDescent="0.3">
      <c r="A129" s="203">
        <f t="shared" ca="1" si="9"/>
        <v>0</v>
      </c>
      <c r="B129" s="203"/>
      <c r="C129" s="203"/>
      <c r="D129" s="203"/>
      <c r="E129" s="203"/>
      <c r="F129" s="203"/>
      <c r="G129" s="203">
        <f t="shared" ca="1" si="8"/>
        <v>0</v>
      </c>
      <c r="H129" s="203"/>
      <c r="I129" s="203"/>
      <c r="J129" s="203"/>
      <c r="K129" s="203"/>
      <c r="L129" s="203"/>
      <c r="M129" s="203"/>
      <c r="N129" s="203"/>
      <c r="O129" s="203"/>
      <c r="P129" s="203"/>
      <c r="Q129" s="203"/>
      <c r="R129" s="203"/>
      <c r="S129" s="203"/>
      <c r="T129" s="203"/>
      <c r="U129" s="203"/>
      <c r="V129" s="203"/>
      <c r="W129" s="203"/>
      <c r="X129" s="203"/>
      <c r="Y129" s="203"/>
      <c r="Z129" s="203"/>
      <c r="AA129" s="203"/>
      <c r="AB129" s="203"/>
      <c r="AC129" s="203"/>
      <c r="AD129" s="203"/>
      <c r="AE129" s="203"/>
      <c r="AF129" s="203"/>
      <c r="AG129" s="203"/>
      <c r="AH129" s="203"/>
      <c r="AI129" s="203"/>
      <c r="AJ129" s="17"/>
      <c r="AK129" s="17"/>
      <c r="AL129" s="17"/>
    </row>
    <row r="130" spans="1:38" x14ac:dyDescent="0.3">
      <c r="A130" s="203">
        <f t="shared" ca="1" si="9"/>
        <v>0</v>
      </c>
      <c r="B130" s="203"/>
      <c r="C130" s="203"/>
      <c r="D130" s="203"/>
      <c r="E130" s="203"/>
      <c r="F130" s="203"/>
      <c r="G130" s="203">
        <f t="shared" ca="1" si="8"/>
        <v>0</v>
      </c>
      <c r="H130" s="203"/>
      <c r="I130" s="203"/>
      <c r="J130" s="203"/>
      <c r="K130" s="203"/>
      <c r="L130" s="203"/>
      <c r="M130" s="203"/>
      <c r="N130" s="203"/>
      <c r="O130" s="203"/>
      <c r="P130" s="203"/>
      <c r="Q130" s="203"/>
      <c r="R130" s="203"/>
      <c r="S130" s="203"/>
      <c r="T130" s="203"/>
      <c r="U130" s="203"/>
      <c r="V130" s="203"/>
      <c r="W130" s="203"/>
      <c r="X130" s="203"/>
      <c r="Y130" s="203"/>
      <c r="Z130" s="203"/>
      <c r="AA130" s="203"/>
      <c r="AB130" s="203"/>
      <c r="AC130" s="203"/>
      <c r="AD130" s="203"/>
      <c r="AE130" s="203"/>
      <c r="AF130" s="203"/>
      <c r="AG130" s="203"/>
      <c r="AH130" s="203"/>
      <c r="AI130" s="203"/>
      <c r="AJ130" s="17"/>
      <c r="AK130" s="17"/>
      <c r="AL130" s="17"/>
    </row>
    <row r="131" spans="1:38" x14ac:dyDescent="0.3">
      <c r="A131" s="203">
        <f t="shared" ca="1" si="9"/>
        <v>0</v>
      </c>
      <c r="B131" s="203"/>
      <c r="C131" s="203"/>
      <c r="D131" s="203"/>
      <c r="E131" s="203"/>
      <c r="F131" s="203"/>
      <c r="G131" s="203">
        <f t="shared" ca="1" si="8"/>
        <v>0</v>
      </c>
      <c r="H131" s="203"/>
      <c r="I131" s="203"/>
      <c r="J131" s="203"/>
      <c r="K131" s="203"/>
      <c r="L131" s="203"/>
      <c r="M131" s="203"/>
      <c r="N131" s="203"/>
      <c r="O131" s="203"/>
      <c r="P131" s="203"/>
      <c r="Q131" s="203"/>
      <c r="R131" s="203"/>
      <c r="S131" s="203"/>
      <c r="T131" s="203"/>
      <c r="U131" s="203"/>
      <c r="V131" s="203"/>
      <c r="W131" s="203"/>
      <c r="X131" s="203"/>
      <c r="Y131" s="203"/>
      <c r="Z131" s="203"/>
      <c r="AA131" s="203"/>
      <c r="AB131" s="203"/>
      <c r="AC131" s="203"/>
      <c r="AD131" s="203"/>
      <c r="AE131" s="203"/>
      <c r="AF131" s="203"/>
      <c r="AG131" s="203"/>
      <c r="AH131" s="203"/>
      <c r="AI131" s="203"/>
      <c r="AJ131" s="17"/>
      <c r="AK131" s="17"/>
      <c r="AL131" s="17"/>
    </row>
    <row r="132" spans="1:38" x14ac:dyDescent="0.3">
      <c r="A132" s="203">
        <f t="shared" ca="1" si="9"/>
        <v>0</v>
      </c>
      <c r="B132" s="203"/>
      <c r="C132" s="203"/>
      <c r="D132" s="203"/>
      <c r="E132" s="203"/>
      <c r="F132" s="203"/>
      <c r="G132" s="203">
        <f t="shared" ca="1" si="8"/>
        <v>0</v>
      </c>
      <c r="H132" s="203"/>
      <c r="I132" s="203"/>
      <c r="J132" s="203"/>
      <c r="K132" s="203"/>
      <c r="L132" s="203"/>
      <c r="M132" s="203"/>
      <c r="N132" s="203"/>
      <c r="O132" s="203"/>
      <c r="P132" s="203"/>
      <c r="Q132" s="203"/>
      <c r="R132" s="203"/>
      <c r="S132" s="203"/>
      <c r="T132" s="203"/>
      <c r="U132" s="203"/>
      <c r="V132" s="203"/>
      <c r="W132" s="203"/>
      <c r="X132" s="203"/>
      <c r="Y132" s="203"/>
      <c r="Z132" s="203"/>
      <c r="AA132" s="203"/>
      <c r="AB132" s="203"/>
      <c r="AC132" s="203"/>
      <c r="AD132" s="203"/>
      <c r="AE132" s="203"/>
      <c r="AF132" s="203"/>
      <c r="AG132" s="203"/>
      <c r="AH132" s="203"/>
      <c r="AI132" s="203"/>
      <c r="AJ132" s="17"/>
      <c r="AK132" s="17"/>
      <c r="AL132" s="17"/>
    </row>
    <row r="133" spans="1:38" x14ac:dyDescent="0.3">
      <c r="A133" s="203">
        <f t="shared" ca="1" si="9"/>
        <v>0</v>
      </c>
      <c r="B133" s="203"/>
      <c r="C133" s="203"/>
      <c r="D133" s="203"/>
      <c r="E133" s="203"/>
      <c r="F133" s="203"/>
      <c r="G133" s="203">
        <f t="shared" ca="1" si="8"/>
        <v>0</v>
      </c>
      <c r="H133" s="203"/>
      <c r="I133" s="203"/>
      <c r="J133" s="203"/>
      <c r="K133" s="203"/>
      <c r="L133" s="203"/>
      <c r="M133" s="203"/>
      <c r="N133" s="203"/>
      <c r="O133" s="203"/>
      <c r="P133" s="203"/>
      <c r="Q133" s="203"/>
      <c r="R133" s="203"/>
      <c r="S133" s="203"/>
      <c r="T133" s="203"/>
      <c r="U133" s="203"/>
      <c r="V133" s="203"/>
      <c r="W133" s="203"/>
      <c r="X133" s="203"/>
      <c r="Y133" s="203"/>
      <c r="Z133" s="203"/>
      <c r="AA133" s="203"/>
      <c r="AB133" s="203"/>
      <c r="AC133" s="203"/>
      <c r="AD133" s="203"/>
      <c r="AE133" s="203"/>
      <c r="AF133" s="203"/>
      <c r="AG133" s="203"/>
      <c r="AH133" s="203"/>
      <c r="AI133" s="203"/>
      <c r="AJ133" s="17"/>
      <c r="AK133" s="17"/>
      <c r="AL133" s="17"/>
    </row>
    <row r="134" spans="1:38" x14ac:dyDescent="0.3">
      <c r="A134" s="203">
        <f t="shared" ca="1" si="9"/>
        <v>0</v>
      </c>
      <c r="B134" s="203"/>
      <c r="C134" s="203"/>
      <c r="D134" s="203"/>
      <c r="E134" s="203"/>
      <c r="F134" s="203"/>
      <c r="G134" s="203">
        <f t="shared" ca="1" si="8"/>
        <v>0</v>
      </c>
      <c r="H134" s="203"/>
      <c r="I134" s="203"/>
      <c r="J134" s="203"/>
      <c r="K134" s="203"/>
      <c r="L134" s="203"/>
      <c r="M134" s="203"/>
      <c r="N134" s="203"/>
      <c r="O134" s="203"/>
      <c r="P134" s="203"/>
      <c r="Q134" s="203"/>
      <c r="R134" s="203"/>
      <c r="S134" s="203"/>
      <c r="T134" s="203"/>
      <c r="U134" s="203"/>
      <c r="V134" s="203"/>
      <c r="W134" s="203"/>
      <c r="X134" s="203"/>
      <c r="Y134" s="203"/>
      <c r="Z134" s="203"/>
      <c r="AA134" s="203"/>
      <c r="AB134" s="203"/>
      <c r="AC134" s="203"/>
      <c r="AD134" s="203"/>
      <c r="AE134" s="203"/>
      <c r="AF134" s="203"/>
      <c r="AG134" s="203"/>
      <c r="AH134" s="203"/>
      <c r="AI134" s="203"/>
      <c r="AJ134" s="17"/>
      <c r="AK134" s="17"/>
      <c r="AL134" s="17"/>
    </row>
    <row r="135" spans="1:38" x14ac:dyDescent="0.3">
      <c r="A135" s="203">
        <f t="shared" ca="1" si="9"/>
        <v>0</v>
      </c>
      <c r="B135" s="203"/>
      <c r="C135" s="203"/>
      <c r="D135" s="203"/>
      <c r="E135" s="203"/>
      <c r="F135" s="203"/>
      <c r="G135" s="203">
        <f t="shared" ca="1" si="8"/>
        <v>0</v>
      </c>
      <c r="H135" s="203"/>
      <c r="I135" s="203"/>
      <c r="J135" s="203"/>
      <c r="K135" s="203"/>
      <c r="L135" s="203"/>
      <c r="M135" s="203"/>
      <c r="N135" s="203"/>
      <c r="O135" s="203"/>
      <c r="P135" s="203"/>
      <c r="Q135" s="203"/>
      <c r="R135" s="203"/>
      <c r="S135" s="203"/>
      <c r="T135" s="203"/>
      <c r="U135" s="203"/>
      <c r="V135" s="203"/>
      <c r="W135" s="203"/>
      <c r="X135" s="203"/>
      <c r="Y135" s="203"/>
      <c r="Z135" s="203"/>
      <c r="AA135" s="203"/>
      <c r="AB135" s="203"/>
      <c r="AC135" s="203"/>
      <c r="AD135" s="203"/>
      <c r="AE135" s="203"/>
      <c r="AF135" s="203"/>
      <c r="AG135" s="203"/>
      <c r="AH135" s="203"/>
      <c r="AI135" s="203"/>
      <c r="AJ135" s="17"/>
      <c r="AK135" s="17"/>
      <c r="AL135" s="17"/>
    </row>
    <row r="136" spans="1:38" x14ac:dyDescent="0.3">
      <c r="A136" s="203">
        <f t="shared" ca="1" si="9"/>
        <v>0</v>
      </c>
      <c r="B136" s="203"/>
      <c r="C136" s="203"/>
      <c r="D136" s="203"/>
      <c r="E136" s="203"/>
      <c r="F136" s="203"/>
      <c r="G136" s="203">
        <f t="shared" ca="1" si="8"/>
        <v>0</v>
      </c>
      <c r="H136" s="203"/>
      <c r="I136" s="203"/>
      <c r="J136" s="203"/>
      <c r="K136" s="203"/>
      <c r="L136" s="203"/>
      <c r="M136" s="203"/>
      <c r="N136" s="203"/>
      <c r="O136" s="203"/>
      <c r="P136" s="203"/>
      <c r="Q136" s="203"/>
      <c r="R136" s="203"/>
      <c r="S136" s="203"/>
      <c r="T136" s="203"/>
      <c r="U136" s="203"/>
      <c r="V136" s="203"/>
      <c r="W136" s="203"/>
      <c r="X136" s="203"/>
      <c r="Y136" s="203"/>
      <c r="Z136" s="203"/>
      <c r="AA136" s="203"/>
      <c r="AB136" s="203"/>
      <c r="AC136" s="203"/>
      <c r="AD136" s="203"/>
      <c r="AE136" s="203"/>
      <c r="AF136" s="203"/>
      <c r="AG136" s="203"/>
      <c r="AH136" s="203"/>
      <c r="AI136" s="203"/>
      <c r="AJ136" s="17"/>
      <c r="AK136" s="17"/>
      <c r="AL136" s="17"/>
    </row>
    <row r="137" spans="1:38" x14ac:dyDescent="0.3">
      <c r="A137" s="203">
        <f t="shared" ca="1" si="9"/>
        <v>0</v>
      </c>
      <c r="B137" s="203"/>
      <c r="C137" s="203"/>
      <c r="D137" s="203"/>
      <c r="E137" s="203"/>
      <c r="F137" s="203"/>
      <c r="G137" s="203">
        <f t="shared" ca="1" si="8"/>
        <v>0</v>
      </c>
      <c r="H137" s="203"/>
      <c r="I137" s="203"/>
      <c r="J137" s="203"/>
      <c r="K137" s="203"/>
      <c r="L137" s="203"/>
      <c r="M137" s="203"/>
      <c r="N137" s="203"/>
      <c r="O137" s="203"/>
      <c r="P137" s="203"/>
      <c r="Q137" s="203"/>
      <c r="R137" s="203"/>
      <c r="S137" s="203"/>
      <c r="T137" s="203"/>
      <c r="U137" s="203"/>
      <c r="V137" s="203"/>
      <c r="W137" s="203"/>
      <c r="X137" s="203"/>
      <c r="Y137" s="203"/>
      <c r="Z137" s="203"/>
      <c r="AA137" s="203"/>
      <c r="AB137" s="203"/>
      <c r="AC137" s="203"/>
      <c r="AD137" s="203"/>
      <c r="AE137" s="203"/>
      <c r="AF137" s="203"/>
      <c r="AG137" s="203"/>
      <c r="AH137" s="203"/>
      <c r="AI137" s="203"/>
      <c r="AJ137" s="17"/>
      <c r="AK137" s="17"/>
      <c r="AL137" s="17"/>
    </row>
    <row r="138" spans="1:38" x14ac:dyDescent="0.3">
      <c r="A138" s="203">
        <f t="shared" ca="1" si="9"/>
        <v>0</v>
      </c>
      <c r="B138" s="203"/>
      <c r="C138" s="203"/>
      <c r="D138" s="203"/>
      <c r="E138" s="203"/>
      <c r="F138" s="203"/>
      <c r="G138" s="203">
        <f t="shared" ca="1" si="8"/>
        <v>0</v>
      </c>
      <c r="H138" s="203"/>
      <c r="I138" s="203"/>
      <c r="J138" s="203"/>
      <c r="K138" s="203"/>
      <c r="L138" s="203"/>
      <c r="M138" s="203"/>
      <c r="N138" s="203"/>
      <c r="O138" s="203"/>
      <c r="P138" s="203"/>
      <c r="Q138" s="203"/>
      <c r="R138" s="203"/>
      <c r="S138" s="203"/>
      <c r="T138" s="203"/>
      <c r="U138" s="203"/>
      <c r="V138" s="203"/>
      <c r="W138" s="203"/>
      <c r="X138" s="203"/>
      <c r="Y138" s="203"/>
      <c r="Z138" s="203"/>
      <c r="AA138" s="203"/>
      <c r="AB138" s="203"/>
      <c r="AC138" s="203"/>
      <c r="AD138" s="203"/>
      <c r="AE138" s="203"/>
      <c r="AF138" s="203"/>
      <c r="AG138" s="203"/>
      <c r="AH138" s="203"/>
      <c r="AI138" s="203"/>
      <c r="AJ138" s="17"/>
      <c r="AK138" s="17"/>
      <c r="AL138" s="17"/>
    </row>
    <row r="139" spans="1:38" x14ac:dyDescent="0.3">
      <c r="A139" s="203">
        <f t="shared" ca="1" si="9"/>
        <v>0</v>
      </c>
      <c r="B139" s="203"/>
      <c r="C139" s="203"/>
      <c r="D139" s="203"/>
      <c r="E139" s="203"/>
      <c r="F139" s="203"/>
      <c r="G139" s="203">
        <f t="shared" ca="1" si="8"/>
        <v>0</v>
      </c>
      <c r="H139" s="203"/>
      <c r="I139" s="203"/>
      <c r="J139" s="203"/>
      <c r="K139" s="203"/>
      <c r="L139" s="203"/>
      <c r="M139" s="203"/>
      <c r="N139" s="203"/>
      <c r="O139" s="203"/>
      <c r="P139" s="203"/>
      <c r="Q139" s="203"/>
      <c r="R139" s="203"/>
      <c r="S139" s="203"/>
      <c r="T139" s="203"/>
      <c r="U139" s="203"/>
      <c r="V139" s="203"/>
      <c r="W139" s="203"/>
      <c r="X139" s="203"/>
      <c r="Y139" s="203"/>
      <c r="Z139" s="203"/>
      <c r="AA139" s="203"/>
      <c r="AB139" s="203"/>
      <c r="AC139" s="203"/>
      <c r="AD139" s="203"/>
      <c r="AE139" s="203"/>
      <c r="AF139" s="203"/>
      <c r="AG139" s="203"/>
      <c r="AH139" s="203"/>
      <c r="AI139" s="203"/>
      <c r="AJ139" s="17"/>
      <c r="AK139" s="17"/>
      <c r="AL139" s="17"/>
    </row>
    <row r="140" spans="1:38" x14ac:dyDescent="0.3">
      <c r="A140" s="203">
        <f t="shared" ca="1" si="9"/>
        <v>0</v>
      </c>
      <c r="B140" s="203"/>
      <c r="C140" s="203"/>
      <c r="D140" s="203"/>
      <c r="E140" s="203"/>
      <c r="F140" s="203"/>
      <c r="G140" s="203">
        <f t="shared" ca="1" si="8"/>
        <v>0</v>
      </c>
      <c r="H140" s="203"/>
      <c r="I140" s="203"/>
      <c r="J140" s="203"/>
      <c r="K140" s="203"/>
      <c r="L140" s="203"/>
      <c r="M140" s="203"/>
      <c r="N140" s="203"/>
      <c r="O140" s="203"/>
      <c r="P140" s="203"/>
      <c r="Q140" s="203"/>
      <c r="R140" s="203"/>
      <c r="S140" s="203"/>
      <c r="T140" s="203"/>
      <c r="U140" s="203"/>
      <c r="V140" s="203"/>
      <c r="W140" s="203"/>
      <c r="X140" s="203"/>
      <c r="Y140" s="203"/>
      <c r="Z140" s="203"/>
      <c r="AA140" s="203"/>
      <c r="AB140" s="203"/>
      <c r="AC140" s="203"/>
      <c r="AD140" s="203"/>
      <c r="AE140" s="203"/>
      <c r="AF140" s="203"/>
      <c r="AG140" s="203"/>
      <c r="AH140" s="203"/>
      <c r="AI140" s="203"/>
      <c r="AJ140" s="17"/>
      <c r="AK140" s="17"/>
      <c r="AL140" s="17"/>
    </row>
    <row r="141" spans="1:38" x14ac:dyDescent="0.3">
      <c r="A141" s="203">
        <f t="shared" ca="1" si="9"/>
        <v>0</v>
      </c>
      <c r="B141" s="203"/>
      <c r="C141" s="203"/>
      <c r="D141" s="203"/>
      <c r="E141" s="203"/>
      <c r="F141" s="203"/>
      <c r="G141" s="203">
        <f t="shared" ca="1" si="8"/>
        <v>0</v>
      </c>
      <c r="H141" s="203"/>
      <c r="I141" s="203"/>
      <c r="J141" s="203"/>
      <c r="K141" s="203"/>
      <c r="L141" s="203"/>
      <c r="M141" s="203"/>
      <c r="N141" s="203"/>
      <c r="O141" s="203"/>
      <c r="P141" s="203"/>
      <c r="Q141" s="203"/>
      <c r="R141" s="203"/>
      <c r="S141" s="203"/>
      <c r="T141" s="203"/>
      <c r="U141" s="203"/>
      <c r="V141" s="203"/>
      <c r="W141" s="203"/>
      <c r="X141" s="203"/>
      <c r="Y141" s="203"/>
      <c r="Z141" s="203"/>
      <c r="AA141" s="203"/>
      <c r="AB141" s="203"/>
      <c r="AC141" s="203"/>
      <c r="AD141" s="203"/>
      <c r="AE141" s="203"/>
      <c r="AF141" s="203"/>
      <c r="AG141" s="203"/>
      <c r="AH141" s="203"/>
      <c r="AI141" s="203"/>
      <c r="AJ141" s="17"/>
      <c r="AK141" s="17"/>
      <c r="AL141" s="17"/>
    </row>
    <row r="142" spans="1:38" x14ac:dyDescent="0.3">
      <c r="A142" s="203">
        <f t="shared" ca="1" si="9"/>
        <v>0</v>
      </c>
      <c r="B142" s="203"/>
      <c r="C142" s="203"/>
      <c r="D142" s="203"/>
      <c r="E142" s="203"/>
      <c r="F142" s="203"/>
      <c r="G142" s="203">
        <f t="shared" ca="1" si="8"/>
        <v>0</v>
      </c>
      <c r="H142" s="203"/>
      <c r="I142" s="203"/>
      <c r="J142" s="203"/>
      <c r="K142" s="203"/>
      <c r="L142" s="203"/>
      <c r="M142" s="203"/>
      <c r="N142" s="203"/>
      <c r="O142" s="203"/>
      <c r="P142" s="203"/>
      <c r="Q142" s="203"/>
      <c r="R142" s="203"/>
      <c r="S142" s="203"/>
      <c r="T142" s="203"/>
      <c r="U142" s="203"/>
      <c r="V142" s="203"/>
      <c r="W142" s="203"/>
      <c r="X142" s="203"/>
      <c r="Y142" s="203"/>
      <c r="Z142" s="203"/>
      <c r="AA142" s="203"/>
      <c r="AB142" s="203"/>
      <c r="AC142" s="203"/>
      <c r="AD142" s="203"/>
      <c r="AE142" s="203"/>
      <c r="AF142" s="203"/>
      <c r="AG142" s="203"/>
      <c r="AH142" s="203"/>
      <c r="AI142" s="203"/>
      <c r="AJ142" s="17"/>
      <c r="AK142" s="17"/>
      <c r="AL142" s="17"/>
    </row>
    <row r="143" spans="1:38" x14ac:dyDescent="0.3">
      <c r="A143" s="203">
        <f t="shared" ca="1" si="9"/>
        <v>0</v>
      </c>
      <c r="B143" s="203"/>
      <c r="C143" s="203"/>
      <c r="D143" s="203"/>
      <c r="E143" s="203"/>
      <c r="F143" s="203"/>
      <c r="G143" s="203">
        <f t="shared" ca="1" si="8"/>
        <v>0</v>
      </c>
      <c r="H143" s="203"/>
      <c r="I143" s="203"/>
      <c r="J143" s="203"/>
      <c r="K143" s="203"/>
      <c r="L143" s="203"/>
      <c r="M143" s="203"/>
      <c r="N143" s="203"/>
      <c r="O143" s="203"/>
      <c r="P143" s="203"/>
      <c r="Q143" s="203"/>
      <c r="R143" s="203"/>
      <c r="S143" s="203"/>
      <c r="T143" s="203"/>
      <c r="U143" s="203"/>
      <c r="V143" s="203"/>
      <c r="W143" s="203"/>
      <c r="X143" s="203"/>
      <c r="Y143" s="203"/>
      <c r="Z143" s="203"/>
      <c r="AA143" s="203"/>
      <c r="AB143" s="203"/>
      <c r="AC143" s="203"/>
      <c r="AD143" s="203"/>
      <c r="AE143" s="203"/>
      <c r="AF143" s="203"/>
      <c r="AG143" s="203"/>
      <c r="AH143" s="203"/>
      <c r="AI143" s="203"/>
      <c r="AJ143" s="17"/>
      <c r="AK143" s="17"/>
      <c r="AL143" s="17"/>
    </row>
    <row r="144" spans="1:38" x14ac:dyDescent="0.3">
      <c r="A144" s="203">
        <f t="shared" ca="1" si="9"/>
        <v>0</v>
      </c>
      <c r="B144" s="203"/>
      <c r="C144" s="203"/>
      <c r="D144" s="203"/>
      <c r="E144" s="203"/>
      <c r="F144" s="203"/>
      <c r="G144" s="203">
        <f t="shared" ca="1" si="8"/>
        <v>0</v>
      </c>
      <c r="H144" s="203"/>
      <c r="I144" s="203"/>
      <c r="J144" s="203"/>
      <c r="K144" s="203"/>
      <c r="L144" s="203"/>
      <c r="M144" s="203"/>
      <c r="N144" s="203"/>
      <c r="O144" s="203"/>
      <c r="P144" s="203"/>
      <c r="Q144" s="203"/>
      <c r="R144" s="203"/>
      <c r="S144" s="203"/>
      <c r="T144" s="203"/>
      <c r="U144" s="203"/>
      <c r="V144" s="203"/>
      <c r="W144" s="203"/>
      <c r="X144" s="203"/>
      <c r="Y144" s="203"/>
      <c r="Z144" s="203"/>
      <c r="AA144" s="203"/>
      <c r="AB144" s="203"/>
      <c r="AC144" s="203"/>
      <c r="AD144" s="203"/>
      <c r="AE144" s="203"/>
      <c r="AF144" s="203"/>
      <c r="AG144" s="203"/>
      <c r="AH144" s="203"/>
      <c r="AI144" s="203"/>
      <c r="AJ144" s="17"/>
      <c r="AK144" s="17"/>
      <c r="AL144" s="17"/>
    </row>
    <row r="145" spans="1:38" x14ac:dyDescent="0.3">
      <c r="A145" s="203">
        <f t="shared" ca="1" si="9"/>
        <v>0</v>
      </c>
      <c r="B145" s="203"/>
      <c r="C145" s="203"/>
      <c r="D145" s="203"/>
      <c r="E145" s="203"/>
      <c r="F145" s="203"/>
      <c r="G145" s="203">
        <f t="shared" ca="1" si="8"/>
        <v>0</v>
      </c>
      <c r="H145" s="203"/>
      <c r="I145" s="203"/>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3"/>
      <c r="AJ145" s="17"/>
      <c r="AK145" s="17"/>
      <c r="AL145" s="17"/>
    </row>
    <row r="146" spans="1:38" x14ac:dyDescent="0.3">
      <c r="A146" s="203">
        <f t="shared" ca="1" si="9"/>
        <v>0</v>
      </c>
      <c r="B146" s="203"/>
      <c r="C146" s="203"/>
      <c r="D146" s="203"/>
      <c r="E146" s="203"/>
      <c r="F146" s="203"/>
      <c r="G146" s="203">
        <f t="shared" ca="1" si="8"/>
        <v>0</v>
      </c>
      <c r="H146" s="203"/>
      <c r="I146" s="203"/>
      <c r="J146" s="203"/>
      <c r="K146" s="203"/>
      <c r="L146" s="203"/>
      <c r="M146" s="203"/>
      <c r="N146" s="203"/>
      <c r="O146" s="203"/>
      <c r="P146" s="203"/>
      <c r="Q146" s="203"/>
      <c r="R146" s="203"/>
      <c r="S146" s="203"/>
      <c r="T146" s="203"/>
      <c r="U146" s="203"/>
      <c r="V146" s="203"/>
      <c r="W146" s="203"/>
      <c r="X146" s="203"/>
      <c r="Y146" s="203"/>
      <c r="Z146" s="203"/>
      <c r="AA146" s="203"/>
      <c r="AB146" s="203"/>
      <c r="AC146" s="203"/>
      <c r="AD146" s="203"/>
      <c r="AE146" s="203"/>
      <c r="AF146" s="203"/>
      <c r="AG146" s="203"/>
      <c r="AH146" s="203"/>
      <c r="AI146" s="203"/>
      <c r="AJ146" s="17"/>
      <c r="AK146" s="17"/>
      <c r="AL146" s="17"/>
    </row>
    <row r="147" spans="1:38" x14ac:dyDescent="0.3">
      <c r="A147" s="203">
        <f t="shared" ca="1" si="9"/>
        <v>0</v>
      </c>
      <c r="B147" s="203"/>
      <c r="C147" s="203"/>
      <c r="D147" s="203"/>
      <c r="E147" s="203"/>
      <c r="F147" s="203"/>
      <c r="G147" s="203">
        <f t="shared" ca="1" si="8"/>
        <v>0</v>
      </c>
      <c r="H147" s="203"/>
      <c r="I147" s="203"/>
      <c r="J147" s="203"/>
      <c r="K147" s="203"/>
      <c r="L147" s="203"/>
      <c r="M147" s="203"/>
      <c r="N147" s="203"/>
      <c r="O147" s="203"/>
      <c r="P147" s="203"/>
      <c r="Q147" s="203"/>
      <c r="R147" s="203"/>
      <c r="S147" s="203"/>
      <c r="T147" s="203"/>
      <c r="U147" s="203"/>
      <c r="V147" s="203"/>
      <c r="W147" s="203"/>
      <c r="X147" s="203"/>
      <c r="Y147" s="203"/>
      <c r="Z147" s="203"/>
      <c r="AA147" s="203"/>
      <c r="AB147" s="203"/>
      <c r="AC147" s="203"/>
      <c r="AD147" s="203"/>
      <c r="AE147" s="203"/>
      <c r="AF147" s="203"/>
      <c r="AG147" s="203"/>
      <c r="AH147" s="203"/>
      <c r="AI147" s="203"/>
      <c r="AJ147" s="17"/>
      <c r="AK147" s="17"/>
      <c r="AL147" s="17"/>
    </row>
    <row r="148" spans="1:38" x14ac:dyDescent="0.3">
      <c r="A148" s="203">
        <f t="shared" ca="1" si="9"/>
        <v>0</v>
      </c>
      <c r="B148" s="203"/>
      <c r="C148" s="203"/>
      <c r="D148" s="203"/>
      <c r="E148" s="203"/>
      <c r="F148" s="203"/>
      <c r="G148" s="203">
        <f t="shared" ca="1" si="8"/>
        <v>0</v>
      </c>
      <c r="H148" s="203"/>
      <c r="I148" s="203"/>
      <c r="J148" s="203"/>
      <c r="K148" s="203"/>
      <c r="L148" s="203"/>
      <c r="M148" s="203"/>
      <c r="N148" s="203"/>
      <c r="O148" s="203"/>
      <c r="P148" s="203"/>
      <c r="Q148" s="203"/>
      <c r="R148" s="203"/>
      <c r="S148" s="203"/>
      <c r="T148" s="203"/>
      <c r="U148" s="203"/>
      <c r="V148" s="203"/>
      <c r="W148" s="203"/>
      <c r="X148" s="203"/>
      <c r="Y148" s="203"/>
      <c r="Z148" s="203"/>
      <c r="AA148" s="203"/>
      <c r="AB148" s="203"/>
      <c r="AC148" s="203"/>
      <c r="AD148" s="203"/>
      <c r="AE148" s="203"/>
      <c r="AF148" s="203"/>
      <c r="AG148" s="203"/>
      <c r="AH148" s="203"/>
      <c r="AI148" s="203"/>
      <c r="AJ148" s="17"/>
      <c r="AK148" s="17"/>
      <c r="AL148" s="17"/>
    </row>
    <row r="149" spans="1:38" x14ac:dyDescent="0.3">
      <c r="A149" s="203">
        <f t="shared" ca="1" si="9"/>
        <v>0</v>
      </c>
      <c r="B149" s="203"/>
      <c r="C149" s="203"/>
      <c r="D149" s="203"/>
      <c r="E149" s="203"/>
      <c r="F149" s="203"/>
      <c r="G149" s="203">
        <f t="shared" ca="1" si="8"/>
        <v>0</v>
      </c>
      <c r="H149" s="203"/>
      <c r="I149" s="203"/>
      <c r="J149" s="203"/>
      <c r="K149" s="203"/>
      <c r="L149" s="203"/>
      <c r="M149" s="203"/>
      <c r="N149" s="203"/>
      <c r="O149" s="203"/>
      <c r="P149" s="203"/>
      <c r="Q149" s="203"/>
      <c r="R149" s="203"/>
      <c r="S149" s="203"/>
      <c r="T149" s="203"/>
      <c r="U149" s="203"/>
      <c r="V149" s="203"/>
      <c r="W149" s="203"/>
      <c r="X149" s="203"/>
      <c r="Y149" s="203"/>
      <c r="Z149" s="203"/>
      <c r="AA149" s="203"/>
      <c r="AB149" s="203"/>
      <c r="AC149" s="203"/>
      <c r="AD149" s="203"/>
      <c r="AE149" s="203"/>
      <c r="AF149" s="203"/>
      <c r="AG149" s="203"/>
      <c r="AH149" s="203"/>
      <c r="AI149" s="203"/>
      <c r="AJ149" s="17"/>
      <c r="AK149" s="17"/>
      <c r="AL149" s="17"/>
    </row>
    <row r="150" spans="1:38" x14ac:dyDescent="0.3">
      <c r="A150" s="203">
        <f t="shared" ca="1" si="9"/>
        <v>0</v>
      </c>
      <c r="B150" s="203"/>
      <c r="C150" s="203"/>
      <c r="D150" s="203"/>
      <c r="E150" s="203"/>
      <c r="F150" s="203"/>
      <c r="G150" s="203">
        <f t="shared" ca="1" si="8"/>
        <v>0</v>
      </c>
      <c r="H150" s="203"/>
      <c r="I150" s="203"/>
      <c r="J150" s="203"/>
      <c r="K150" s="203"/>
      <c r="L150" s="203"/>
      <c r="M150" s="203"/>
      <c r="N150" s="203"/>
      <c r="O150" s="203"/>
      <c r="P150" s="203"/>
      <c r="Q150" s="203"/>
      <c r="R150" s="203"/>
      <c r="S150" s="203"/>
      <c r="T150" s="203"/>
      <c r="U150" s="203"/>
      <c r="V150" s="203"/>
      <c r="W150" s="203"/>
      <c r="X150" s="203"/>
      <c r="Y150" s="203"/>
      <c r="Z150" s="203"/>
      <c r="AA150" s="203"/>
      <c r="AB150" s="203"/>
      <c r="AC150" s="203"/>
      <c r="AD150" s="203"/>
      <c r="AE150" s="203"/>
      <c r="AF150" s="203"/>
      <c r="AG150" s="203"/>
      <c r="AH150" s="203"/>
      <c r="AI150" s="203"/>
      <c r="AJ150" s="17"/>
      <c r="AK150" s="17"/>
      <c r="AL150" s="17"/>
    </row>
    <row r="151" spans="1:38" x14ac:dyDescent="0.3">
      <c r="A151" s="203">
        <f t="shared" ca="1" si="9"/>
        <v>0</v>
      </c>
      <c r="B151" s="203"/>
      <c r="C151" s="203"/>
      <c r="D151" s="203"/>
      <c r="E151" s="203"/>
      <c r="F151" s="203"/>
      <c r="G151" s="203">
        <f t="shared" ca="1" si="8"/>
        <v>0</v>
      </c>
      <c r="H151" s="203"/>
      <c r="I151" s="203"/>
      <c r="J151" s="203"/>
      <c r="K151" s="203"/>
      <c r="L151" s="203"/>
      <c r="M151" s="203"/>
      <c r="N151" s="203"/>
      <c r="O151" s="203"/>
      <c r="P151" s="203"/>
      <c r="Q151" s="203"/>
      <c r="R151" s="203"/>
      <c r="S151" s="203"/>
      <c r="T151" s="203"/>
      <c r="U151" s="203"/>
      <c r="V151" s="203"/>
      <c r="W151" s="203"/>
      <c r="X151" s="203"/>
      <c r="Y151" s="203"/>
      <c r="Z151" s="203"/>
      <c r="AA151" s="203"/>
      <c r="AB151" s="203"/>
      <c r="AC151" s="203"/>
      <c r="AD151" s="203"/>
      <c r="AE151" s="203"/>
      <c r="AF151" s="203"/>
      <c r="AG151" s="203"/>
      <c r="AH151" s="203"/>
      <c r="AI151" s="203"/>
      <c r="AJ151" s="17"/>
      <c r="AK151" s="17"/>
      <c r="AL151" s="17"/>
    </row>
    <row r="152" spans="1:38" x14ac:dyDescent="0.3">
      <c r="A152" s="203">
        <f t="shared" ca="1" si="9"/>
        <v>0</v>
      </c>
      <c r="B152" s="203"/>
      <c r="C152" s="203"/>
      <c r="D152" s="203"/>
      <c r="E152" s="203"/>
      <c r="F152" s="203"/>
      <c r="G152" s="203">
        <f t="shared" ca="1" si="8"/>
        <v>0</v>
      </c>
      <c r="H152" s="203"/>
      <c r="I152" s="203"/>
      <c r="J152" s="203"/>
      <c r="K152" s="203"/>
      <c r="L152" s="203"/>
      <c r="M152" s="203"/>
      <c r="N152" s="203"/>
      <c r="O152" s="203"/>
      <c r="P152" s="203"/>
      <c r="Q152" s="203"/>
      <c r="R152" s="203"/>
      <c r="S152" s="203"/>
      <c r="T152" s="203"/>
      <c r="U152" s="203"/>
      <c r="V152" s="203"/>
      <c r="W152" s="203"/>
      <c r="X152" s="203"/>
      <c r="Y152" s="203"/>
      <c r="Z152" s="203"/>
      <c r="AA152" s="203"/>
      <c r="AB152" s="203"/>
      <c r="AC152" s="203"/>
      <c r="AD152" s="203"/>
      <c r="AE152" s="203"/>
      <c r="AF152" s="203"/>
      <c r="AG152" s="203"/>
      <c r="AH152" s="203"/>
      <c r="AI152" s="203"/>
      <c r="AJ152" s="17"/>
      <c r="AK152" s="17"/>
      <c r="AL152" s="17"/>
    </row>
    <row r="153" spans="1:38" x14ac:dyDescent="0.3">
      <c r="A153" s="203">
        <f t="shared" ca="1" si="9"/>
        <v>0</v>
      </c>
      <c r="B153" s="203"/>
      <c r="C153" s="203"/>
      <c r="D153" s="203"/>
      <c r="E153" s="203"/>
      <c r="F153" s="203"/>
      <c r="G153" s="203">
        <f t="shared" ca="1" si="8"/>
        <v>0</v>
      </c>
      <c r="H153" s="203"/>
      <c r="I153" s="203"/>
      <c r="J153" s="203"/>
      <c r="K153" s="203"/>
      <c r="L153" s="203"/>
      <c r="M153" s="203"/>
      <c r="N153" s="203"/>
      <c r="O153" s="203"/>
      <c r="P153" s="203"/>
      <c r="Q153" s="203"/>
      <c r="R153" s="203"/>
      <c r="S153" s="203"/>
      <c r="T153" s="203"/>
      <c r="U153" s="203"/>
      <c r="V153" s="203"/>
      <c r="W153" s="203"/>
      <c r="X153" s="203"/>
      <c r="Y153" s="203"/>
      <c r="Z153" s="203"/>
      <c r="AA153" s="203"/>
      <c r="AB153" s="203"/>
      <c r="AC153" s="203"/>
      <c r="AD153" s="203"/>
      <c r="AE153" s="203"/>
      <c r="AF153" s="203"/>
      <c r="AG153" s="203"/>
      <c r="AH153" s="203"/>
      <c r="AI153" s="203"/>
      <c r="AJ153" s="17"/>
      <c r="AK153" s="17"/>
      <c r="AL153" s="17"/>
    </row>
    <row r="154" spans="1:38" x14ac:dyDescent="0.3">
      <c r="A154" s="203">
        <f t="shared" ca="1" si="9"/>
        <v>0</v>
      </c>
      <c r="B154" s="203"/>
      <c r="C154" s="203"/>
      <c r="D154" s="203"/>
      <c r="E154" s="203"/>
      <c r="F154" s="203"/>
      <c r="G154" s="203">
        <f t="shared" ca="1" si="8"/>
        <v>0</v>
      </c>
      <c r="H154" s="203"/>
      <c r="I154" s="203"/>
      <c r="J154" s="203"/>
      <c r="K154" s="203"/>
      <c r="L154" s="203"/>
      <c r="M154" s="203"/>
      <c r="N154" s="203"/>
      <c r="O154" s="203"/>
      <c r="P154" s="203"/>
      <c r="Q154" s="203"/>
      <c r="R154" s="203"/>
      <c r="S154" s="203"/>
      <c r="T154" s="203"/>
      <c r="U154" s="203"/>
      <c r="V154" s="203"/>
      <c r="W154" s="203"/>
      <c r="X154" s="203"/>
      <c r="Y154" s="203"/>
      <c r="Z154" s="203"/>
      <c r="AA154" s="203"/>
      <c r="AB154" s="203"/>
      <c r="AC154" s="203"/>
      <c r="AD154" s="203"/>
      <c r="AE154" s="203"/>
      <c r="AF154" s="203"/>
      <c r="AG154" s="203"/>
      <c r="AH154" s="203"/>
      <c r="AI154" s="203"/>
      <c r="AJ154" s="17"/>
      <c r="AK154" s="17"/>
      <c r="AL154" s="17"/>
    </row>
    <row r="155" spans="1:38" x14ac:dyDescent="0.3">
      <c r="A155" s="203">
        <f t="shared" ca="1" si="9"/>
        <v>0</v>
      </c>
      <c r="B155" s="203"/>
      <c r="C155" s="203"/>
      <c r="D155" s="203"/>
      <c r="E155" s="203"/>
      <c r="F155" s="203"/>
      <c r="G155" s="203">
        <f t="shared" ca="1" si="8"/>
        <v>0</v>
      </c>
      <c r="H155" s="203"/>
      <c r="I155" s="203"/>
      <c r="J155" s="203"/>
      <c r="K155" s="203"/>
      <c r="L155" s="203"/>
      <c r="M155" s="203"/>
      <c r="N155" s="203"/>
      <c r="O155" s="203"/>
      <c r="P155" s="203"/>
      <c r="Q155" s="203"/>
      <c r="R155" s="203"/>
      <c r="S155" s="203"/>
      <c r="T155" s="203"/>
      <c r="U155" s="203"/>
      <c r="V155" s="203"/>
      <c r="W155" s="203"/>
      <c r="X155" s="203"/>
      <c r="Y155" s="203"/>
      <c r="Z155" s="203"/>
      <c r="AA155" s="203"/>
      <c r="AB155" s="203"/>
      <c r="AC155" s="203"/>
      <c r="AD155" s="203"/>
      <c r="AE155" s="203"/>
      <c r="AF155" s="203"/>
      <c r="AG155" s="203"/>
      <c r="AH155" s="203"/>
      <c r="AI155" s="203"/>
      <c r="AJ155" s="17"/>
      <c r="AK155" s="17"/>
      <c r="AL155" s="17"/>
    </row>
    <row r="156" spans="1:38" x14ac:dyDescent="0.3">
      <c r="A156" s="203">
        <f t="shared" ca="1" si="9"/>
        <v>0</v>
      </c>
      <c r="B156" s="203"/>
      <c r="C156" s="203"/>
      <c r="D156" s="203"/>
      <c r="E156" s="203"/>
      <c r="F156" s="203"/>
      <c r="G156" s="203">
        <f t="shared" ca="1" si="8"/>
        <v>0</v>
      </c>
      <c r="H156" s="203"/>
      <c r="I156" s="203"/>
      <c r="J156" s="203"/>
      <c r="K156" s="203"/>
      <c r="L156" s="203"/>
      <c r="M156" s="203"/>
      <c r="N156" s="203"/>
      <c r="O156" s="203"/>
      <c r="P156" s="203"/>
      <c r="Q156" s="203"/>
      <c r="R156" s="203"/>
      <c r="S156" s="203"/>
      <c r="T156" s="203"/>
      <c r="U156" s="203"/>
      <c r="V156" s="203"/>
      <c r="W156" s="203"/>
      <c r="X156" s="203"/>
      <c r="Y156" s="203"/>
      <c r="Z156" s="203"/>
      <c r="AA156" s="203"/>
      <c r="AB156" s="203"/>
      <c r="AC156" s="203"/>
      <c r="AD156" s="203"/>
      <c r="AE156" s="203"/>
      <c r="AF156" s="203"/>
      <c r="AG156" s="203"/>
      <c r="AH156" s="203"/>
      <c r="AI156" s="203"/>
      <c r="AJ156" s="17"/>
      <c r="AK156" s="17"/>
      <c r="AL156" s="17"/>
    </row>
    <row r="157" spans="1:38" x14ac:dyDescent="0.3">
      <c r="A157" s="203">
        <f t="shared" ca="1" si="9"/>
        <v>0</v>
      </c>
      <c r="B157" s="203"/>
      <c r="C157" s="203"/>
      <c r="D157" s="203"/>
      <c r="E157" s="203"/>
      <c r="F157" s="203"/>
      <c r="G157" s="203">
        <f t="shared" ca="1" si="8"/>
        <v>0</v>
      </c>
      <c r="H157" s="203"/>
      <c r="I157" s="203"/>
      <c r="J157" s="203"/>
      <c r="K157" s="203"/>
      <c r="L157" s="203"/>
      <c r="M157" s="203"/>
      <c r="N157" s="203"/>
      <c r="O157" s="203"/>
      <c r="P157" s="203"/>
      <c r="Q157" s="203"/>
      <c r="R157" s="203"/>
      <c r="S157" s="203"/>
      <c r="T157" s="203"/>
      <c r="U157" s="203"/>
      <c r="V157" s="203"/>
      <c r="W157" s="203"/>
      <c r="X157" s="203"/>
      <c r="Y157" s="203"/>
      <c r="Z157" s="203"/>
      <c r="AA157" s="203"/>
      <c r="AB157" s="203"/>
      <c r="AC157" s="203"/>
      <c r="AD157" s="203"/>
      <c r="AE157" s="203"/>
      <c r="AF157" s="203"/>
      <c r="AG157" s="203"/>
      <c r="AH157" s="203"/>
      <c r="AI157" s="203"/>
      <c r="AJ157" s="17"/>
      <c r="AK157" s="17"/>
      <c r="AL157" s="17"/>
    </row>
    <row r="158" spans="1:38" x14ac:dyDescent="0.3">
      <c r="A158" s="203">
        <f t="shared" ca="1" si="9"/>
        <v>0</v>
      </c>
      <c r="B158" s="203"/>
      <c r="C158" s="203"/>
      <c r="D158" s="203"/>
      <c r="E158" s="203"/>
      <c r="F158" s="203"/>
      <c r="G158" s="203">
        <f t="shared" ca="1" si="8"/>
        <v>0</v>
      </c>
      <c r="H158" s="203"/>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3"/>
      <c r="AE158" s="203"/>
      <c r="AF158" s="203"/>
      <c r="AG158" s="203"/>
      <c r="AH158" s="203"/>
      <c r="AI158" s="203"/>
      <c r="AJ158" s="17"/>
      <c r="AK158" s="17"/>
      <c r="AL158" s="17"/>
    </row>
    <row r="159" spans="1:38" x14ac:dyDescent="0.3">
      <c r="A159" s="203">
        <f t="shared" ca="1" si="9"/>
        <v>0</v>
      </c>
      <c r="B159" s="203"/>
      <c r="C159" s="203"/>
      <c r="D159" s="203"/>
      <c r="E159" s="203"/>
      <c r="F159" s="203"/>
      <c r="G159" s="203">
        <f t="shared" ca="1" si="8"/>
        <v>0</v>
      </c>
      <c r="H159" s="203"/>
      <c r="I159" s="203"/>
      <c r="J159" s="203"/>
      <c r="K159" s="203"/>
      <c r="L159" s="203"/>
      <c r="M159" s="203"/>
      <c r="N159" s="203"/>
      <c r="O159" s="203"/>
      <c r="P159" s="203"/>
      <c r="Q159" s="203"/>
      <c r="R159" s="203"/>
      <c r="S159" s="203"/>
      <c r="T159" s="203"/>
      <c r="U159" s="203"/>
      <c r="V159" s="203"/>
      <c r="W159" s="203"/>
      <c r="X159" s="203"/>
      <c r="Y159" s="203"/>
      <c r="Z159" s="203"/>
      <c r="AA159" s="203"/>
      <c r="AB159" s="203"/>
      <c r="AC159" s="203"/>
      <c r="AD159" s="203"/>
      <c r="AE159" s="203"/>
      <c r="AF159" s="203"/>
      <c r="AG159" s="203"/>
      <c r="AH159" s="203"/>
      <c r="AI159" s="203"/>
      <c r="AJ159" s="17"/>
      <c r="AK159" s="17"/>
      <c r="AL159" s="17"/>
    </row>
    <row r="160" spans="1:38" x14ac:dyDescent="0.3">
      <c r="A160" s="203">
        <f t="shared" ca="1" si="9"/>
        <v>0</v>
      </c>
      <c r="B160" s="203"/>
      <c r="C160" s="203"/>
      <c r="D160" s="203"/>
      <c r="E160" s="203"/>
      <c r="F160" s="203"/>
      <c r="G160" s="203">
        <f t="shared" ref="G160:G223" ca="1" si="10">OFFSET($H160,0,LangOffset,1,1)</f>
        <v>0</v>
      </c>
      <c r="H160" s="203"/>
      <c r="I160" s="203"/>
      <c r="J160" s="203"/>
      <c r="K160" s="203"/>
      <c r="L160" s="203"/>
      <c r="M160" s="203"/>
      <c r="N160" s="203"/>
      <c r="O160" s="203"/>
      <c r="P160" s="203"/>
      <c r="Q160" s="203"/>
      <c r="R160" s="203"/>
      <c r="S160" s="203"/>
      <c r="T160" s="203"/>
      <c r="U160" s="203"/>
      <c r="V160" s="203"/>
      <c r="W160" s="203"/>
      <c r="X160" s="203"/>
      <c r="Y160" s="203"/>
      <c r="Z160" s="203"/>
      <c r="AA160" s="203"/>
      <c r="AB160" s="203"/>
      <c r="AC160" s="203"/>
      <c r="AD160" s="203"/>
      <c r="AE160" s="203"/>
      <c r="AF160" s="203"/>
      <c r="AG160" s="203"/>
      <c r="AH160" s="203"/>
      <c r="AI160" s="203"/>
      <c r="AJ160" s="17"/>
      <c r="AK160" s="17"/>
      <c r="AL160" s="17"/>
    </row>
    <row r="161" spans="1:38" x14ac:dyDescent="0.3">
      <c r="A161" s="203">
        <f t="shared" ca="1" si="9"/>
        <v>0</v>
      </c>
      <c r="B161" s="203"/>
      <c r="C161" s="203"/>
      <c r="D161" s="203"/>
      <c r="E161" s="203"/>
      <c r="F161" s="203"/>
      <c r="G161" s="203">
        <f t="shared" ca="1" si="10"/>
        <v>0</v>
      </c>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3"/>
      <c r="AE161" s="203"/>
      <c r="AF161" s="203"/>
      <c r="AG161" s="203"/>
      <c r="AH161" s="203"/>
      <c r="AI161" s="203"/>
      <c r="AJ161" s="17"/>
      <c r="AK161" s="17"/>
      <c r="AL161" s="17"/>
    </row>
    <row r="162" spans="1:38" x14ac:dyDescent="0.3">
      <c r="A162" s="203">
        <f t="shared" ca="1" si="9"/>
        <v>0</v>
      </c>
      <c r="B162" s="203"/>
      <c r="C162" s="203"/>
      <c r="D162" s="203"/>
      <c r="E162" s="203"/>
      <c r="F162" s="203"/>
      <c r="G162" s="203">
        <f t="shared" ca="1" si="10"/>
        <v>0</v>
      </c>
      <c r="H162" s="203"/>
      <c r="I162" s="203"/>
      <c r="J162" s="203"/>
      <c r="K162" s="203"/>
      <c r="L162" s="203"/>
      <c r="M162" s="203"/>
      <c r="N162" s="203"/>
      <c r="O162" s="203"/>
      <c r="P162" s="203"/>
      <c r="Q162" s="203"/>
      <c r="R162" s="203"/>
      <c r="S162" s="203"/>
      <c r="T162" s="203"/>
      <c r="U162" s="203"/>
      <c r="V162" s="203"/>
      <c r="W162" s="203"/>
      <c r="X162" s="203"/>
      <c r="Y162" s="203"/>
      <c r="Z162" s="203"/>
      <c r="AA162" s="203"/>
      <c r="AB162" s="203"/>
      <c r="AC162" s="203"/>
      <c r="AD162" s="203"/>
      <c r="AE162" s="203"/>
      <c r="AF162" s="203"/>
      <c r="AG162" s="203"/>
      <c r="AH162" s="203"/>
      <c r="AI162" s="203"/>
      <c r="AJ162" s="17"/>
      <c r="AK162" s="17"/>
      <c r="AL162" s="17"/>
    </row>
    <row r="163" spans="1:38" x14ac:dyDescent="0.3">
      <c r="A163" s="17">
        <f t="shared" ca="1" si="9"/>
        <v>0</v>
      </c>
      <c r="B163" s="17"/>
      <c r="C163" s="17"/>
      <c r="E163" s="17"/>
      <c r="F163" s="17"/>
      <c r="G163" s="203">
        <f t="shared" ca="1" si="10"/>
        <v>0</v>
      </c>
      <c r="H163" s="203"/>
      <c r="I163" s="203"/>
      <c r="J163" s="203"/>
      <c r="K163" s="203"/>
      <c r="L163" s="203"/>
      <c r="M163" s="203"/>
      <c r="N163" s="203"/>
      <c r="O163" s="203"/>
      <c r="P163" s="203"/>
      <c r="Q163" s="203"/>
      <c r="R163" s="203"/>
      <c r="S163" s="203"/>
      <c r="T163" s="203"/>
      <c r="U163" s="203"/>
      <c r="V163" s="203"/>
      <c r="W163" s="203"/>
      <c r="X163" s="203"/>
      <c r="Y163" s="203"/>
      <c r="Z163" s="203"/>
      <c r="AA163" s="203"/>
      <c r="AB163" s="203"/>
      <c r="AC163" s="203"/>
      <c r="AD163" s="203"/>
      <c r="AE163" s="203"/>
      <c r="AF163" s="203"/>
      <c r="AG163" s="203"/>
      <c r="AH163" s="203"/>
      <c r="AI163" s="203"/>
      <c r="AJ163" s="17"/>
      <c r="AK163" s="17"/>
      <c r="AL163" s="17"/>
    </row>
    <row r="164" spans="1:38" x14ac:dyDescent="0.3">
      <c r="A164" s="17">
        <f t="shared" ca="1" si="9"/>
        <v>0</v>
      </c>
      <c r="B164" s="17"/>
      <c r="C164" s="17"/>
      <c r="E164" s="17"/>
      <c r="F164" s="17"/>
      <c r="G164" s="203">
        <f t="shared" ca="1" si="10"/>
        <v>0</v>
      </c>
      <c r="H164" s="203"/>
      <c r="I164" s="203"/>
      <c r="J164" s="203"/>
      <c r="K164" s="203"/>
      <c r="L164" s="203"/>
      <c r="M164" s="203"/>
      <c r="N164" s="203"/>
      <c r="O164" s="203"/>
      <c r="P164" s="203"/>
      <c r="Q164" s="203"/>
      <c r="R164" s="203"/>
      <c r="S164" s="203"/>
      <c r="T164" s="203"/>
      <c r="U164" s="203"/>
      <c r="V164" s="203"/>
      <c r="W164" s="203"/>
      <c r="X164" s="203"/>
      <c r="Y164" s="203"/>
      <c r="Z164" s="203"/>
      <c r="AA164" s="17"/>
      <c r="AB164" s="17"/>
      <c r="AC164" s="17"/>
      <c r="AD164" s="17"/>
      <c r="AE164" s="17"/>
      <c r="AF164" s="17"/>
      <c r="AG164" s="17"/>
      <c r="AH164" s="17"/>
      <c r="AI164" s="17"/>
      <c r="AJ164" s="17"/>
      <c r="AK164" s="17"/>
      <c r="AL164" s="17"/>
    </row>
    <row r="165" spans="1:38" x14ac:dyDescent="0.3">
      <c r="A165" s="17">
        <f t="shared" ca="1" si="9"/>
        <v>0</v>
      </c>
      <c r="B165" s="17"/>
      <c r="C165" s="17"/>
      <c r="E165" s="17"/>
      <c r="F165" s="17"/>
      <c r="G165" s="203">
        <f t="shared" ca="1" si="10"/>
        <v>0</v>
      </c>
      <c r="H165" s="203"/>
      <c r="I165" s="203"/>
      <c r="J165" s="203"/>
      <c r="K165" s="203"/>
      <c r="L165" s="203"/>
      <c r="M165" s="203"/>
      <c r="N165" s="203"/>
      <c r="O165" s="203"/>
      <c r="P165" s="203"/>
      <c r="Q165" s="203"/>
      <c r="R165" s="203"/>
      <c r="S165" s="203"/>
      <c r="T165" s="17"/>
      <c r="U165" s="17"/>
      <c r="V165" s="17"/>
      <c r="W165" s="17"/>
      <c r="X165" s="17"/>
      <c r="Y165" s="17"/>
      <c r="Z165" s="17"/>
      <c r="AA165" s="17"/>
      <c r="AB165" s="17"/>
      <c r="AC165" s="17"/>
      <c r="AD165" s="17"/>
      <c r="AE165" s="17"/>
      <c r="AF165" s="17"/>
      <c r="AG165" s="17"/>
      <c r="AH165" s="17"/>
      <c r="AI165" s="17"/>
      <c r="AJ165" s="17"/>
      <c r="AK165" s="17"/>
      <c r="AL165" s="17"/>
    </row>
    <row r="166" spans="1:38" x14ac:dyDescent="0.3">
      <c r="A166" s="17">
        <f t="shared" ca="1" si="9"/>
        <v>0</v>
      </c>
      <c r="B166" s="17"/>
      <c r="C166" s="17"/>
      <c r="E166" s="17"/>
      <c r="F166" s="17"/>
      <c r="G166" s="203">
        <f t="shared" ca="1" si="10"/>
        <v>0</v>
      </c>
      <c r="H166" s="203"/>
      <c r="I166" s="203"/>
      <c r="J166" s="203"/>
      <c r="K166" s="203"/>
      <c r="L166" s="203"/>
      <c r="M166" s="203"/>
      <c r="N166" s="203"/>
      <c r="O166" s="203"/>
      <c r="P166" s="203"/>
      <c r="Q166" s="203"/>
      <c r="R166" s="203"/>
      <c r="S166" s="203"/>
      <c r="T166" s="17"/>
      <c r="U166" s="17"/>
      <c r="V166" s="17"/>
      <c r="W166" s="17"/>
      <c r="X166" s="17"/>
      <c r="Y166" s="17"/>
      <c r="Z166" s="17"/>
      <c r="AA166" s="17"/>
      <c r="AB166" s="17"/>
      <c r="AC166" s="17"/>
      <c r="AD166" s="17"/>
      <c r="AE166" s="17"/>
      <c r="AF166" s="17"/>
      <c r="AG166" s="17"/>
      <c r="AH166" s="17"/>
      <c r="AI166" s="17"/>
      <c r="AJ166" s="17"/>
      <c r="AK166" s="17"/>
      <c r="AL166" s="17"/>
    </row>
    <row r="167" spans="1:38" x14ac:dyDescent="0.3">
      <c r="A167" s="17">
        <f t="shared" ca="1" si="9"/>
        <v>0</v>
      </c>
      <c r="B167" s="17"/>
      <c r="C167" s="17"/>
      <c r="E167" s="17"/>
      <c r="F167" s="17"/>
      <c r="G167" s="203">
        <f t="shared" ca="1" si="10"/>
        <v>0</v>
      </c>
      <c r="H167" s="203"/>
      <c r="I167" s="203"/>
      <c r="J167" s="203"/>
      <c r="K167" s="203"/>
      <c r="L167" s="203"/>
      <c r="M167" s="203"/>
      <c r="N167" s="203"/>
      <c r="O167" s="203"/>
      <c r="P167" s="203"/>
      <c r="Q167" s="203"/>
      <c r="R167" s="203"/>
      <c r="S167" s="203"/>
      <c r="T167" s="17"/>
      <c r="U167" s="17"/>
      <c r="V167" s="17"/>
      <c r="W167" s="17"/>
      <c r="X167" s="17"/>
      <c r="Y167" s="17"/>
      <c r="Z167" s="17"/>
      <c r="AA167" s="17"/>
      <c r="AB167" s="17"/>
      <c r="AC167" s="17"/>
      <c r="AD167" s="17"/>
      <c r="AE167" s="17"/>
      <c r="AF167" s="17"/>
      <c r="AG167" s="17"/>
      <c r="AH167" s="17"/>
      <c r="AI167" s="17"/>
      <c r="AJ167" s="17"/>
      <c r="AK167" s="17"/>
      <c r="AL167" s="17"/>
    </row>
    <row r="168" spans="1:38" x14ac:dyDescent="0.3">
      <c r="A168" s="17">
        <f t="shared" ca="1" si="9"/>
        <v>0</v>
      </c>
      <c r="B168" s="17"/>
      <c r="C168" s="17"/>
      <c r="E168" s="17"/>
      <c r="F168" s="17"/>
      <c r="G168" s="203">
        <f t="shared" ca="1" si="10"/>
        <v>0</v>
      </c>
      <c r="H168" s="203"/>
      <c r="I168" s="203"/>
      <c r="J168" s="203"/>
      <c r="K168" s="203"/>
      <c r="L168" s="203"/>
      <c r="M168" s="203"/>
      <c r="N168" s="203"/>
      <c r="O168" s="203"/>
      <c r="P168" s="203"/>
      <c r="Q168" s="203"/>
      <c r="R168" s="203"/>
      <c r="S168" s="203"/>
      <c r="T168" s="17"/>
      <c r="U168" s="17"/>
      <c r="V168" s="17"/>
      <c r="W168" s="17"/>
      <c r="X168" s="17"/>
      <c r="Y168" s="17"/>
      <c r="Z168" s="17"/>
      <c r="AA168" s="17"/>
      <c r="AB168" s="17"/>
      <c r="AC168" s="17"/>
      <c r="AD168" s="17"/>
      <c r="AE168" s="17"/>
      <c r="AF168" s="17"/>
      <c r="AG168" s="17"/>
      <c r="AH168" s="17"/>
      <c r="AI168" s="17"/>
      <c r="AJ168" s="17"/>
      <c r="AK168" s="17"/>
      <c r="AL168" s="17"/>
    </row>
    <row r="169" spans="1:38" x14ac:dyDescent="0.3">
      <c r="A169" s="17">
        <f t="shared" ca="1" si="9"/>
        <v>0</v>
      </c>
      <c r="B169" s="17"/>
      <c r="C169" s="17"/>
      <c r="E169" s="17"/>
      <c r="F169" s="17"/>
      <c r="G169" s="203">
        <f t="shared" ca="1" si="10"/>
        <v>0</v>
      </c>
      <c r="H169" s="203"/>
      <c r="I169" s="203"/>
      <c r="J169" s="203"/>
      <c r="K169" s="203"/>
      <c r="L169" s="203"/>
      <c r="M169" s="203"/>
      <c r="N169" s="203"/>
      <c r="O169" s="203"/>
      <c r="P169" s="203"/>
      <c r="Q169" s="203"/>
      <c r="R169" s="203"/>
      <c r="S169" s="203"/>
      <c r="T169" s="17"/>
      <c r="U169" s="17"/>
      <c r="V169" s="17"/>
      <c r="W169" s="17"/>
      <c r="X169" s="17"/>
      <c r="Y169" s="17"/>
      <c r="Z169" s="17"/>
      <c r="AA169" s="17"/>
      <c r="AB169" s="17"/>
      <c r="AC169" s="17"/>
      <c r="AD169" s="17"/>
      <c r="AE169" s="17"/>
      <c r="AF169" s="17"/>
      <c r="AG169" s="17"/>
      <c r="AH169" s="17"/>
      <c r="AI169" s="17"/>
      <c r="AJ169" s="17"/>
      <c r="AK169" s="17"/>
      <c r="AL169" s="17"/>
    </row>
    <row r="170" spans="1:38" x14ac:dyDescent="0.3">
      <c r="A170" s="17">
        <f t="shared" ca="1" si="9"/>
        <v>0</v>
      </c>
      <c r="B170" s="17"/>
      <c r="C170" s="17"/>
      <c r="E170" s="17"/>
      <c r="F170" s="17"/>
      <c r="G170" s="17">
        <f t="shared" ca="1" si="10"/>
        <v>0</v>
      </c>
      <c r="H170" s="17"/>
      <c r="K170" s="17"/>
      <c r="L170" s="17"/>
      <c r="M170" s="17"/>
      <c r="N170" s="203"/>
      <c r="O170" s="203"/>
      <c r="P170" s="203"/>
      <c r="Q170" s="203"/>
      <c r="R170" s="203"/>
      <c r="S170" s="203"/>
      <c r="T170" s="17"/>
      <c r="U170" s="17"/>
      <c r="V170" s="17"/>
      <c r="W170" s="17"/>
      <c r="X170" s="17"/>
      <c r="Y170" s="17"/>
      <c r="Z170" s="17"/>
      <c r="AA170" s="17"/>
      <c r="AB170" s="17"/>
      <c r="AC170" s="17"/>
      <c r="AD170" s="17"/>
      <c r="AE170" s="17"/>
      <c r="AF170" s="17"/>
      <c r="AG170" s="17"/>
      <c r="AH170" s="17"/>
      <c r="AI170" s="17"/>
      <c r="AJ170" s="17"/>
      <c r="AK170" s="17"/>
      <c r="AL170" s="17"/>
    </row>
    <row r="171" spans="1:38" x14ac:dyDescent="0.3">
      <c r="A171" s="17">
        <f t="shared" ca="1" si="9"/>
        <v>0</v>
      </c>
      <c r="B171" s="17"/>
      <c r="C171" s="17"/>
      <c r="E171" s="17"/>
      <c r="F171" s="17"/>
      <c r="G171" s="17">
        <f t="shared" ca="1" si="10"/>
        <v>0</v>
      </c>
      <c r="H171" s="17"/>
      <c r="K171" s="17"/>
      <c r="L171" s="17"/>
      <c r="M171" s="17"/>
      <c r="N171" s="203"/>
      <c r="O171" s="203"/>
      <c r="P171" s="203"/>
      <c r="Q171" s="203"/>
      <c r="R171" s="203"/>
      <c r="S171" s="203"/>
      <c r="T171" s="17"/>
      <c r="U171" s="17"/>
      <c r="V171" s="17"/>
      <c r="W171" s="17"/>
      <c r="X171" s="17"/>
      <c r="Y171" s="17"/>
      <c r="Z171" s="17"/>
      <c r="AA171" s="17"/>
      <c r="AB171" s="17"/>
      <c r="AC171" s="17"/>
      <c r="AD171" s="17"/>
      <c r="AE171" s="17"/>
      <c r="AF171" s="17"/>
      <c r="AG171" s="17"/>
      <c r="AH171" s="17"/>
      <c r="AI171" s="17"/>
      <c r="AJ171" s="17"/>
      <c r="AK171" s="17"/>
      <c r="AL171" s="17"/>
    </row>
    <row r="172" spans="1:38" x14ac:dyDescent="0.3">
      <c r="A172" s="17">
        <f t="shared" ca="1" si="9"/>
        <v>0</v>
      </c>
      <c r="B172" s="17"/>
      <c r="C172" s="17"/>
      <c r="E172" s="17"/>
      <c r="F172" s="17"/>
      <c r="G172" s="17">
        <f t="shared" ca="1" si="10"/>
        <v>0</v>
      </c>
      <c r="H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row>
    <row r="173" spans="1:38" x14ac:dyDescent="0.3">
      <c r="A173" s="17">
        <f t="shared" ca="1" si="9"/>
        <v>0</v>
      </c>
      <c r="B173" s="17"/>
      <c r="C173" s="17"/>
      <c r="E173" s="17"/>
      <c r="F173" s="17"/>
      <c r="G173" s="17">
        <f t="shared" ca="1" si="10"/>
        <v>0</v>
      </c>
      <c r="H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row>
    <row r="174" spans="1:38" x14ac:dyDescent="0.3">
      <c r="A174" s="17">
        <f t="shared" ca="1" si="9"/>
        <v>0</v>
      </c>
      <c r="B174" s="17"/>
      <c r="C174" s="17"/>
      <c r="E174" s="17"/>
      <c r="F174" s="17"/>
      <c r="G174" s="17">
        <f t="shared" ca="1" si="10"/>
        <v>0</v>
      </c>
      <c r="H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row>
    <row r="175" spans="1:38" x14ac:dyDescent="0.3">
      <c r="A175" s="17">
        <f t="shared" ca="1" si="9"/>
        <v>0</v>
      </c>
      <c r="B175" s="17"/>
      <c r="C175" s="17"/>
      <c r="E175" s="17"/>
      <c r="F175" s="17"/>
      <c r="G175" s="17">
        <f t="shared" ca="1" si="10"/>
        <v>0</v>
      </c>
      <c r="H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row>
    <row r="176" spans="1:38" x14ac:dyDescent="0.3">
      <c r="A176" s="17">
        <f t="shared" ca="1" si="9"/>
        <v>0</v>
      </c>
      <c r="B176" s="17"/>
      <c r="C176" s="17"/>
      <c r="E176" s="17"/>
      <c r="F176" s="17"/>
      <c r="G176" s="17">
        <f t="shared" ca="1" si="10"/>
        <v>0</v>
      </c>
      <c r="H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row>
    <row r="177" spans="1:38" x14ac:dyDescent="0.3">
      <c r="A177" s="17">
        <f t="shared" ca="1" si="9"/>
        <v>0</v>
      </c>
      <c r="B177" s="17"/>
      <c r="C177" s="17"/>
      <c r="E177" s="17"/>
      <c r="F177" s="17"/>
      <c r="G177" s="17">
        <f t="shared" ca="1" si="10"/>
        <v>0</v>
      </c>
      <c r="H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row>
    <row r="178" spans="1:38" x14ac:dyDescent="0.3">
      <c r="A178" s="17">
        <f t="shared" ca="1" si="9"/>
        <v>0</v>
      </c>
      <c r="B178" s="17"/>
      <c r="C178" s="17"/>
      <c r="E178" s="17"/>
      <c r="F178" s="17"/>
      <c r="G178" s="17">
        <f t="shared" ca="1" si="10"/>
        <v>0</v>
      </c>
      <c r="H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row>
    <row r="179" spans="1:38" x14ac:dyDescent="0.3">
      <c r="A179" s="17">
        <f t="shared" ca="1" si="9"/>
        <v>0</v>
      </c>
      <c r="B179" s="17"/>
      <c r="C179" s="17"/>
      <c r="E179" s="17"/>
      <c r="F179" s="17"/>
      <c r="G179" s="17">
        <f t="shared" ca="1" si="10"/>
        <v>0</v>
      </c>
      <c r="H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row>
    <row r="180" spans="1:38" x14ac:dyDescent="0.3">
      <c r="A180" s="17">
        <f t="shared" ca="1" si="9"/>
        <v>0</v>
      </c>
      <c r="B180" s="17"/>
      <c r="C180" s="17"/>
      <c r="E180" s="17"/>
      <c r="F180" s="17"/>
      <c r="G180" s="17">
        <f t="shared" ca="1" si="10"/>
        <v>0</v>
      </c>
      <c r="H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row>
    <row r="181" spans="1:38" x14ac:dyDescent="0.3">
      <c r="A181" s="17">
        <f t="shared" ca="1" si="9"/>
        <v>0</v>
      </c>
      <c r="B181" s="17"/>
      <c r="C181" s="17"/>
      <c r="E181" s="17"/>
      <c r="F181" s="17"/>
      <c r="G181" s="17">
        <f t="shared" ca="1" si="10"/>
        <v>0</v>
      </c>
      <c r="H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row>
    <row r="182" spans="1:38" x14ac:dyDescent="0.3">
      <c r="A182" s="17">
        <f t="shared" ca="1" si="9"/>
        <v>0</v>
      </c>
      <c r="B182" s="17"/>
      <c r="C182" s="17"/>
      <c r="E182" s="17"/>
      <c r="F182" s="17"/>
      <c r="G182" s="17">
        <f t="shared" ca="1" si="10"/>
        <v>0</v>
      </c>
      <c r="H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row>
    <row r="183" spans="1:38" x14ac:dyDescent="0.3">
      <c r="A183" s="17">
        <f t="shared" ca="1" si="9"/>
        <v>0</v>
      </c>
      <c r="B183" s="17"/>
      <c r="C183" s="17"/>
      <c r="E183" s="17"/>
      <c r="F183" s="17"/>
      <c r="G183" s="17">
        <f t="shared" ca="1" si="10"/>
        <v>0</v>
      </c>
      <c r="H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row>
    <row r="184" spans="1:38" x14ac:dyDescent="0.3">
      <c r="A184" s="17">
        <f t="shared" ref="A184:A247" ca="1" si="11">OFFSET($B184,0,LangOffset,1,1)</f>
        <v>0</v>
      </c>
      <c r="B184" s="17"/>
      <c r="C184" s="17"/>
      <c r="E184" s="17"/>
      <c r="F184" s="17"/>
      <c r="G184" s="17">
        <f t="shared" ca="1" si="10"/>
        <v>0</v>
      </c>
      <c r="H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row>
    <row r="185" spans="1:38" x14ac:dyDescent="0.3">
      <c r="A185" s="17">
        <f t="shared" ca="1" si="11"/>
        <v>0</v>
      </c>
      <c r="B185" s="17"/>
      <c r="C185" s="17"/>
      <c r="E185" s="17"/>
      <c r="F185" s="17"/>
      <c r="G185" s="17">
        <f t="shared" ca="1" si="10"/>
        <v>0</v>
      </c>
      <c r="H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row>
    <row r="186" spans="1:38" x14ac:dyDescent="0.3">
      <c r="A186" s="17">
        <f t="shared" ca="1" si="11"/>
        <v>0</v>
      </c>
      <c r="B186" s="17"/>
      <c r="C186" s="17"/>
      <c r="E186" s="17"/>
      <c r="F186" s="17"/>
      <c r="G186" s="17">
        <f t="shared" ca="1" si="10"/>
        <v>0</v>
      </c>
      <c r="H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row>
    <row r="187" spans="1:38" x14ac:dyDescent="0.3">
      <c r="A187" s="17">
        <f t="shared" ca="1" si="11"/>
        <v>0</v>
      </c>
      <c r="B187" s="17"/>
      <c r="C187" s="17"/>
      <c r="E187" s="17"/>
      <c r="F187" s="17"/>
      <c r="G187" s="17">
        <f t="shared" ca="1" si="10"/>
        <v>0</v>
      </c>
      <c r="H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row>
    <row r="188" spans="1:38" x14ac:dyDescent="0.3">
      <c r="A188" s="17">
        <f t="shared" ca="1" si="11"/>
        <v>0</v>
      </c>
      <c r="B188" s="17"/>
      <c r="C188" s="17"/>
      <c r="E188" s="17"/>
      <c r="F188" s="17"/>
      <c r="G188" s="17">
        <f t="shared" ca="1" si="10"/>
        <v>0</v>
      </c>
      <c r="H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row>
    <row r="189" spans="1:38" x14ac:dyDescent="0.3">
      <c r="A189" s="17">
        <f t="shared" ca="1" si="11"/>
        <v>0</v>
      </c>
      <c r="B189" s="17"/>
      <c r="C189" s="17"/>
      <c r="E189" s="17"/>
      <c r="F189" s="17"/>
      <c r="G189" s="17">
        <f t="shared" ca="1" si="10"/>
        <v>0</v>
      </c>
      <c r="H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row>
    <row r="190" spans="1:38" x14ac:dyDescent="0.3">
      <c r="A190" s="17">
        <f t="shared" ca="1" si="11"/>
        <v>0</v>
      </c>
      <c r="B190" s="17"/>
      <c r="C190" s="17"/>
      <c r="E190" s="17"/>
      <c r="F190" s="17"/>
      <c r="G190" s="17">
        <f t="shared" ca="1" si="10"/>
        <v>0</v>
      </c>
      <c r="H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row>
    <row r="191" spans="1:38" x14ac:dyDescent="0.3">
      <c r="A191" s="17">
        <f t="shared" ca="1" si="11"/>
        <v>0</v>
      </c>
      <c r="B191" s="17"/>
      <c r="C191" s="17"/>
      <c r="E191" s="17"/>
      <c r="F191" s="17"/>
      <c r="G191" s="17">
        <f t="shared" ca="1" si="10"/>
        <v>0</v>
      </c>
      <c r="H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row>
    <row r="192" spans="1:38" x14ac:dyDescent="0.3">
      <c r="A192" s="17">
        <f t="shared" ca="1" si="11"/>
        <v>0</v>
      </c>
      <c r="B192" s="17"/>
      <c r="C192" s="17"/>
      <c r="E192" s="17"/>
      <c r="F192" s="17"/>
      <c r="G192" s="17">
        <f t="shared" ca="1" si="10"/>
        <v>0</v>
      </c>
      <c r="H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row>
    <row r="193" spans="1:38" x14ac:dyDescent="0.3">
      <c r="A193" s="17">
        <f t="shared" ca="1" si="11"/>
        <v>0</v>
      </c>
      <c r="B193" s="17"/>
      <c r="C193" s="17"/>
      <c r="E193" s="17"/>
      <c r="F193" s="17"/>
      <c r="G193" s="17">
        <f t="shared" ca="1" si="10"/>
        <v>0</v>
      </c>
      <c r="H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row>
    <row r="194" spans="1:38" x14ac:dyDescent="0.3">
      <c r="A194" s="17">
        <f t="shared" ca="1" si="11"/>
        <v>0</v>
      </c>
      <c r="B194" s="17"/>
      <c r="C194" s="17"/>
      <c r="E194" s="17"/>
      <c r="F194" s="17"/>
      <c r="G194" s="17">
        <f t="shared" ca="1" si="10"/>
        <v>0</v>
      </c>
      <c r="H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row>
    <row r="195" spans="1:38" x14ac:dyDescent="0.3">
      <c r="A195" s="17">
        <f t="shared" ca="1" si="11"/>
        <v>0</v>
      </c>
      <c r="B195" s="17"/>
      <c r="C195" s="17"/>
      <c r="E195" s="17"/>
      <c r="F195" s="17"/>
      <c r="G195" s="17">
        <f t="shared" ca="1" si="10"/>
        <v>0</v>
      </c>
      <c r="H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row>
    <row r="196" spans="1:38" x14ac:dyDescent="0.3">
      <c r="A196" s="17">
        <f t="shared" ca="1" si="11"/>
        <v>0</v>
      </c>
      <c r="B196" s="17"/>
      <c r="C196" s="17"/>
      <c r="E196" s="17"/>
      <c r="F196" s="17"/>
      <c r="G196" s="17">
        <f t="shared" ca="1" si="10"/>
        <v>0</v>
      </c>
      <c r="H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row>
    <row r="197" spans="1:38" x14ac:dyDescent="0.3">
      <c r="A197" s="17">
        <f t="shared" ca="1" si="11"/>
        <v>0</v>
      </c>
      <c r="B197" s="17"/>
      <c r="C197" s="17"/>
      <c r="E197" s="17"/>
      <c r="F197" s="17"/>
      <c r="G197" s="17">
        <f t="shared" ca="1" si="10"/>
        <v>0</v>
      </c>
      <c r="H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row>
    <row r="198" spans="1:38" x14ac:dyDescent="0.3">
      <c r="A198" s="17">
        <f t="shared" ca="1" si="11"/>
        <v>0</v>
      </c>
      <c r="B198" s="17"/>
      <c r="C198" s="17"/>
      <c r="E198" s="17"/>
      <c r="F198" s="17"/>
      <c r="G198" s="17">
        <f t="shared" ca="1" si="10"/>
        <v>0</v>
      </c>
      <c r="H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row>
    <row r="199" spans="1:38" x14ac:dyDescent="0.3">
      <c r="A199" s="17">
        <f t="shared" ca="1" si="11"/>
        <v>0</v>
      </c>
      <c r="B199" s="17"/>
      <c r="C199" s="17"/>
      <c r="E199" s="17"/>
      <c r="F199" s="17"/>
      <c r="G199" s="17">
        <f t="shared" ca="1" si="10"/>
        <v>0</v>
      </c>
      <c r="H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row>
    <row r="200" spans="1:38" x14ac:dyDescent="0.3">
      <c r="A200" s="17">
        <f t="shared" ca="1" si="11"/>
        <v>0</v>
      </c>
      <c r="B200" s="17"/>
      <c r="C200" s="17"/>
      <c r="E200" s="17"/>
      <c r="F200" s="17"/>
      <c r="G200" s="17">
        <f t="shared" ca="1" si="10"/>
        <v>0</v>
      </c>
      <c r="H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row>
    <row r="201" spans="1:38" x14ac:dyDescent="0.3">
      <c r="A201" s="17">
        <f t="shared" ca="1" si="11"/>
        <v>0</v>
      </c>
      <c r="B201" s="17"/>
      <c r="C201" s="17"/>
      <c r="E201" s="17"/>
      <c r="F201" s="17"/>
      <c r="G201" s="17">
        <f t="shared" ca="1" si="10"/>
        <v>0</v>
      </c>
      <c r="H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row>
    <row r="202" spans="1:38" x14ac:dyDescent="0.3">
      <c r="A202" s="17">
        <f t="shared" ca="1" si="11"/>
        <v>0</v>
      </c>
      <c r="B202" s="17"/>
      <c r="C202" s="17"/>
      <c r="E202" s="17"/>
      <c r="F202" s="17"/>
      <c r="G202" s="17">
        <f t="shared" ca="1" si="10"/>
        <v>0</v>
      </c>
      <c r="H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row>
    <row r="203" spans="1:38" x14ac:dyDescent="0.3">
      <c r="A203" s="17">
        <f t="shared" ca="1" si="11"/>
        <v>0</v>
      </c>
      <c r="B203" s="17"/>
      <c r="C203" s="17"/>
      <c r="E203" s="17"/>
      <c r="F203" s="17"/>
      <c r="G203" s="17">
        <f t="shared" ca="1" si="10"/>
        <v>0</v>
      </c>
      <c r="H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row>
    <row r="204" spans="1:38" x14ac:dyDescent="0.3">
      <c r="A204" s="17">
        <f t="shared" ca="1" si="11"/>
        <v>0</v>
      </c>
      <c r="B204" s="17"/>
      <c r="C204" s="17"/>
      <c r="E204" s="17"/>
      <c r="F204" s="17"/>
      <c r="G204" s="17">
        <f t="shared" ca="1" si="10"/>
        <v>0</v>
      </c>
      <c r="H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row>
    <row r="205" spans="1:38" x14ac:dyDescent="0.3">
      <c r="A205" s="17">
        <f t="shared" ca="1" si="11"/>
        <v>0</v>
      </c>
      <c r="B205" s="17"/>
      <c r="C205" s="17"/>
      <c r="E205" s="17"/>
      <c r="F205" s="17"/>
      <c r="G205" s="17">
        <f t="shared" ca="1" si="10"/>
        <v>0</v>
      </c>
      <c r="H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row>
    <row r="206" spans="1:38" x14ac:dyDescent="0.3">
      <c r="A206" s="17">
        <f t="shared" ca="1" si="11"/>
        <v>0</v>
      </c>
      <c r="B206" s="17"/>
      <c r="C206" s="17"/>
      <c r="E206" s="17"/>
      <c r="F206" s="17"/>
      <c r="G206" s="17">
        <f t="shared" ca="1" si="10"/>
        <v>0</v>
      </c>
      <c r="H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row>
    <row r="207" spans="1:38" x14ac:dyDescent="0.3">
      <c r="A207" s="17">
        <f t="shared" ca="1" si="11"/>
        <v>0</v>
      </c>
      <c r="B207" s="17"/>
      <c r="C207" s="17"/>
      <c r="E207" s="17"/>
      <c r="F207" s="17"/>
      <c r="G207" s="17">
        <f t="shared" ca="1" si="10"/>
        <v>0</v>
      </c>
      <c r="H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row>
    <row r="208" spans="1:38" x14ac:dyDescent="0.3">
      <c r="A208" s="17">
        <f t="shared" ca="1" si="11"/>
        <v>0</v>
      </c>
      <c r="B208" s="17"/>
      <c r="C208" s="17"/>
      <c r="E208" s="17"/>
      <c r="F208" s="17"/>
      <c r="G208" s="17">
        <f t="shared" ca="1" si="10"/>
        <v>0</v>
      </c>
      <c r="H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row>
    <row r="209" spans="1:38" x14ac:dyDescent="0.3">
      <c r="A209" s="17">
        <f t="shared" ca="1" si="11"/>
        <v>0</v>
      </c>
      <c r="B209" s="17"/>
      <c r="C209" s="17"/>
      <c r="E209" s="17"/>
      <c r="F209" s="17"/>
      <c r="G209" s="17">
        <f t="shared" ca="1" si="10"/>
        <v>0</v>
      </c>
      <c r="H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row>
    <row r="210" spans="1:38" x14ac:dyDescent="0.3">
      <c r="A210" s="17">
        <f t="shared" ca="1" si="11"/>
        <v>0</v>
      </c>
      <c r="B210" s="17"/>
      <c r="C210" s="17"/>
      <c r="E210" s="17"/>
      <c r="F210" s="17"/>
      <c r="G210" s="17">
        <f t="shared" ca="1" si="10"/>
        <v>0</v>
      </c>
      <c r="H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row>
    <row r="211" spans="1:38" x14ac:dyDescent="0.3">
      <c r="A211" s="17">
        <f t="shared" ca="1" si="11"/>
        <v>0</v>
      </c>
      <c r="B211" s="17"/>
      <c r="C211" s="17"/>
      <c r="E211" s="17"/>
      <c r="F211" s="17"/>
      <c r="G211" s="17">
        <f t="shared" ca="1" si="10"/>
        <v>0</v>
      </c>
      <c r="H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row>
    <row r="212" spans="1:38" x14ac:dyDescent="0.3">
      <c r="A212" s="17">
        <f t="shared" ca="1" si="11"/>
        <v>0</v>
      </c>
      <c r="B212" s="17"/>
      <c r="C212" s="17"/>
      <c r="E212" s="17"/>
      <c r="F212" s="17"/>
      <c r="G212" s="17">
        <f t="shared" ca="1" si="10"/>
        <v>0</v>
      </c>
      <c r="H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row>
    <row r="213" spans="1:38" x14ac:dyDescent="0.3">
      <c r="A213" s="17">
        <f t="shared" ca="1" si="11"/>
        <v>0</v>
      </c>
      <c r="B213" s="17"/>
      <c r="C213" s="17"/>
      <c r="E213" s="17"/>
      <c r="F213" s="17"/>
      <c r="G213" s="17">
        <f t="shared" ca="1" si="10"/>
        <v>0</v>
      </c>
      <c r="H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row>
    <row r="214" spans="1:38" x14ac:dyDescent="0.3">
      <c r="A214" s="17">
        <f t="shared" ca="1" si="11"/>
        <v>0</v>
      </c>
      <c r="B214" s="17"/>
      <c r="C214" s="17"/>
      <c r="E214" s="17"/>
      <c r="F214" s="17"/>
      <c r="G214" s="17">
        <f t="shared" ca="1" si="10"/>
        <v>0</v>
      </c>
      <c r="H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row>
    <row r="215" spans="1:38" x14ac:dyDescent="0.3">
      <c r="A215" s="8">
        <f t="shared" ca="1" si="11"/>
        <v>0</v>
      </c>
      <c r="G215" s="17">
        <f t="shared" ca="1" si="10"/>
        <v>0</v>
      </c>
      <c r="H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row>
    <row r="216" spans="1:38" x14ac:dyDescent="0.3">
      <c r="A216" s="8">
        <f t="shared" ca="1" si="11"/>
        <v>0</v>
      </c>
      <c r="G216" s="17">
        <f t="shared" ca="1" si="10"/>
        <v>0</v>
      </c>
      <c r="H216" s="17"/>
      <c r="K216" s="17"/>
      <c r="L216" s="17"/>
      <c r="M216" s="17"/>
      <c r="N216" s="17"/>
      <c r="O216" s="17"/>
      <c r="P216" s="17"/>
      <c r="Q216" s="17"/>
      <c r="R216" s="17"/>
      <c r="S216" s="17"/>
      <c r="T216" s="17"/>
      <c r="U216" s="17"/>
      <c r="V216" s="17"/>
      <c r="W216" s="17"/>
      <c r="X216" s="17"/>
      <c r="Y216" s="17"/>
      <c r="Z216" s="17"/>
    </row>
    <row r="217" spans="1:38" x14ac:dyDescent="0.3">
      <c r="A217" s="8">
        <f t="shared" ca="1" si="11"/>
        <v>0</v>
      </c>
      <c r="G217" s="17">
        <f t="shared" ca="1" si="10"/>
        <v>0</v>
      </c>
      <c r="H217" s="17"/>
      <c r="K217" s="17"/>
      <c r="L217" s="17"/>
      <c r="M217" s="17"/>
      <c r="N217" s="17"/>
      <c r="O217" s="17"/>
      <c r="P217" s="17"/>
      <c r="Q217" s="17"/>
      <c r="R217" s="17"/>
      <c r="S217" s="17"/>
    </row>
    <row r="218" spans="1:38" x14ac:dyDescent="0.3">
      <c r="A218" s="8">
        <f t="shared" ca="1" si="11"/>
        <v>0</v>
      </c>
      <c r="G218" s="17">
        <f t="shared" ca="1" si="10"/>
        <v>0</v>
      </c>
      <c r="H218" s="17"/>
      <c r="K218" s="17"/>
      <c r="L218" s="17"/>
      <c r="M218" s="17"/>
      <c r="N218" s="17"/>
      <c r="O218" s="17"/>
      <c r="P218" s="17"/>
      <c r="Q218" s="17"/>
      <c r="R218" s="17"/>
      <c r="S218" s="17"/>
    </row>
    <row r="219" spans="1:38" x14ac:dyDescent="0.3">
      <c r="A219" s="8">
        <f t="shared" ca="1" si="11"/>
        <v>0</v>
      </c>
      <c r="G219" s="17">
        <f t="shared" ca="1" si="10"/>
        <v>0</v>
      </c>
      <c r="H219" s="17"/>
      <c r="K219" s="17"/>
      <c r="L219" s="17"/>
      <c r="M219" s="17"/>
      <c r="N219" s="17"/>
      <c r="O219" s="17"/>
      <c r="P219" s="17"/>
      <c r="Q219" s="17"/>
      <c r="R219" s="17"/>
      <c r="S219" s="17"/>
    </row>
    <row r="220" spans="1:38" x14ac:dyDescent="0.3">
      <c r="A220" s="8">
        <f t="shared" ca="1" si="11"/>
        <v>0</v>
      </c>
      <c r="G220" s="17">
        <f t="shared" ca="1" si="10"/>
        <v>0</v>
      </c>
      <c r="H220" s="17"/>
      <c r="K220" s="17"/>
      <c r="L220" s="17"/>
      <c r="M220" s="17"/>
      <c r="N220" s="17"/>
      <c r="O220" s="17"/>
      <c r="P220" s="17"/>
      <c r="Q220" s="17"/>
      <c r="R220" s="17"/>
      <c r="S220" s="17"/>
    </row>
    <row r="221" spans="1:38" x14ac:dyDescent="0.3">
      <c r="A221" s="8">
        <f t="shared" ca="1" si="11"/>
        <v>0</v>
      </c>
      <c r="G221" s="17">
        <f t="shared" ca="1" si="10"/>
        <v>0</v>
      </c>
      <c r="H221" s="17"/>
      <c r="K221" s="17"/>
      <c r="L221" s="17"/>
      <c r="M221" s="17"/>
      <c r="N221" s="17"/>
      <c r="O221" s="17"/>
      <c r="P221" s="17"/>
      <c r="Q221" s="17"/>
      <c r="R221" s="17"/>
      <c r="S221" s="17"/>
    </row>
    <row r="222" spans="1:38" x14ac:dyDescent="0.3">
      <c r="A222" s="8">
        <f t="shared" ca="1" si="11"/>
        <v>0</v>
      </c>
      <c r="G222" s="8">
        <f t="shared" ca="1" si="10"/>
        <v>0</v>
      </c>
      <c r="N222" s="17"/>
      <c r="O222" s="17"/>
      <c r="P222" s="17"/>
      <c r="Q222" s="17"/>
      <c r="R222" s="17"/>
      <c r="S222" s="17"/>
    </row>
    <row r="223" spans="1:38" x14ac:dyDescent="0.3">
      <c r="A223" s="8">
        <f t="shared" ca="1" si="11"/>
        <v>0</v>
      </c>
      <c r="G223" s="8">
        <f t="shared" ca="1" si="10"/>
        <v>0</v>
      </c>
      <c r="N223" s="17"/>
      <c r="O223" s="17"/>
      <c r="P223" s="17"/>
      <c r="Q223" s="17"/>
      <c r="R223" s="17"/>
      <c r="S223" s="17"/>
    </row>
    <row r="224" spans="1:38" x14ac:dyDescent="0.3">
      <c r="A224" s="8">
        <f t="shared" ca="1" si="11"/>
        <v>0</v>
      </c>
      <c r="G224" s="8">
        <f t="shared" ref="G224:G287" ca="1" si="12">OFFSET($H224,0,LangOffset,1,1)</f>
        <v>0</v>
      </c>
    </row>
    <row r="225" spans="1:7" x14ac:dyDescent="0.3">
      <c r="A225" s="8">
        <f t="shared" ca="1" si="11"/>
        <v>0</v>
      </c>
      <c r="G225" s="8">
        <f t="shared" ca="1" si="12"/>
        <v>0</v>
      </c>
    </row>
    <row r="226" spans="1:7" x14ac:dyDescent="0.3">
      <c r="A226" s="8">
        <f t="shared" ca="1" si="11"/>
        <v>0</v>
      </c>
      <c r="G226" s="8">
        <f t="shared" ca="1" si="12"/>
        <v>0</v>
      </c>
    </row>
    <row r="227" spans="1:7" x14ac:dyDescent="0.3">
      <c r="A227" s="8">
        <f t="shared" ca="1" si="11"/>
        <v>0</v>
      </c>
      <c r="G227" s="8">
        <f t="shared" ca="1" si="12"/>
        <v>0</v>
      </c>
    </row>
    <row r="228" spans="1:7" x14ac:dyDescent="0.3">
      <c r="A228" s="8">
        <f t="shared" ca="1" si="11"/>
        <v>0</v>
      </c>
      <c r="G228" s="8">
        <f t="shared" ca="1" si="12"/>
        <v>0</v>
      </c>
    </row>
    <row r="229" spans="1:7" x14ac:dyDescent="0.3">
      <c r="A229" s="8">
        <f t="shared" ca="1" si="11"/>
        <v>0</v>
      </c>
      <c r="G229" s="8">
        <f t="shared" ca="1" si="12"/>
        <v>0</v>
      </c>
    </row>
    <row r="230" spans="1:7" x14ac:dyDescent="0.3">
      <c r="A230" s="8">
        <f t="shared" ca="1" si="11"/>
        <v>0</v>
      </c>
      <c r="G230" s="8">
        <f t="shared" ca="1" si="12"/>
        <v>0</v>
      </c>
    </row>
    <row r="231" spans="1:7" x14ac:dyDescent="0.3">
      <c r="A231" s="8">
        <f t="shared" ca="1" si="11"/>
        <v>0</v>
      </c>
      <c r="G231" s="8">
        <f t="shared" ca="1" si="12"/>
        <v>0</v>
      </c>
    </row>
    <row r="232" spans="1:7" x14ac:dyDescent="0.3">
      <c r="A232" s="8">
        <f t="shared" ca="1" si="11"/>
        <v>0</v>
      </c>
      <c r="G232" s="8">
        <f t="shared" ca="1" si="12"/>
        <v>0</v>
      </c>
    </row>
    <row r="233" spans="1:7" x14ac:dyDescent="0.3">
      <c r="A233" s="8">
        <f t="shared" ca="1" si="11"/>
        <v>0</v>
      </c>
      <c r="G233" s="8">
        <f t="shared" ca="1" si="12"/>
        <v>0</v>
      </c>
    </row>
    <row r="234" spans="1:7" x14ac:dyDescent="0.3">
      <c r="A234" s="8">
        <f t="shared" ca="1" si="11"/>
        <v>0</v>
      </c>
      <c r="G234" s="8">
        <f t="shared" ca="1" si="12"/>
        <v>0</v>
      </c>
    </row>
    <row r="235" spans="1:7" x14ac:dyDescent="0.3">
      <c r="A235" s="8">
        <f t="shared" ca="1" si="11"/>
        <v>0</v>
      </c>
      <c r="G235" s="8">
        <f t="shared" ca="1" si="12"/>
        <v>0</v>
      </c>
    </row>
    <row r="236" spans="1:7" x14ac:dyDescent="0.3">
      <c r="A236" s="8">
        <f t="shared" ca="1" si="11"/>
        <v>0</v>
      </c>
      <c r="G236" s="8">
        <f t="shared" ca="1" si="12"/>
        <v>0</v>
      </c>
    </row>
    <row r="237" spans="1:7" x14ac:dyDescent="0.3">
      <c r="A237" s="8">
        <f t="shared" ca="1" si="11"/>
        <v>0</v>
      </c>
      <c r="G237" s="8">
        <f t="shared" ca="1" si="12"/>
        <v>0</v>
      </c>
    </row>
    <row r="238" spans="1:7" x14ac:dyDescent="0.3">
      <c r="A238" s="8">
        <f t="shared" ca="1" si="11"/>
        <v>0</v>
      </c>
      <c r="G238" s="8">
        <f t="shared" ca="1" si="12"/>
        <v>0</v>
      </c>
    </row>
    <row r="239" spans="1:7" x14ac:dyDescent="0.3">
      <c r="A239" s="8">
        <f t="shared" ca="1" si="11"/>
        <v>0</v>
      </c>
      <c r="G239" s="8">
        <f t="shared" ca="1" si="12"/>
        <v>0</v>
      </c>
    </row>
    <row r="240" spans="1:7" x14ac:dyDescent="0.3">
      <c r="A240" s="8">
        <f t="shared" ca="1" si="11"/>
        <v>0</v>
      </c>
      <c r="G240" s="8">
        <f t="shared" ca="1" si="12"/>
        <v>0</v>
      </c>
    </row>
    <row r="241" spans="1:7" x14ac:dyDescent="0.3">
      <c r="A241" s="8">
        <f t="shared" ca="1" si="11"/>
        <v>0</v>
      </c>
      <c r="G241" s="8">
        <f t="shared" ca="1" si="12"/>
        <v>0</v>
      </c>
    </row>
    <row r="242" spans="1:7" x14ac:dyDescent="0.3">
      <c r="A242" s="8">
        <f t="shared" ca="1" si="11"/>
        <v>0</v>
      </c>
      <c r="G242" s="8">
        <f t="shared" ca="1" si="12"/>
        <v>0</v>
      </c>
    </row>
    <row r="243" spans="1:7" x14ac:dyDescent="0.3">
      <c r="A243" s="8">
        <f t="shared" ca="1" si="11"/>
        <v>0</v>
      </c>
      <c r="G243" s="8">
        <f t="shared" ca="1" si="12"/>
        <v>0</v>
      </c>
    </row>
    <row r="244" spans="1:7" x14ac:dyDescent="0.3">
      <c r="A244" s="8">
        <f t="shared" ca="1" si="11"/>
        <v>0</v>
      </c>
      <c r="G244" s="8">
        <f t="shared" ca="1" si="12"/>
        <v>0</v>
      </c>
    </row>
    <row r="245" spans="1:7" x14ac:dyDescent="0.3">
      <c r="A245" s="8">
        <f t="shared" ca="1" si="11"/>
        <v>0</v>
      </c>
      <c r="G245" s="8">
        <f t="shared" ca="1" si="12"/>
        <v>0</v>
      </c>
    </row>
    <row r="246" spans="1:7" x14ac:dyDescent="0.3">
      <c r="A246" s="8">
        <f t="shared" ca="1" si="11"/>
        <v>0</v>
      </c>
      <c r="G246" s="8">
        <f t="shared" ca="1" si="12"/>
        <v>0</v>
      </c>
    </row>
    <row r="247" spans="1:7" x14ac:dyDescent="0.3">
      <c r="A247" s="8">
        <f t="shared" ca="1" si="11"/>
        <v>0</v>
      </c>
      <c r="G247" s="8">
        <f t="shared" ca="1" si="12"/>
        <v>0</v>
      </c>
    </row>
    <row r="248" spans="1:7" x14ac:dyDescent="0.3">
      <c r="A248" s="8">
        <f t="shared" ref="A248:A311" ca="1" si="13">OFFSET($B248,0,LangOffset,1,1)</f>
        <v>0</v>
      </c>
      <c r="G248" s="8">
        <f t="shared" ca="1" si="12"/>
        <v>0</v>
      </c>
    </row>
    <row r="249" spans="1:7" x14ac:dyDescent="0.3">
      <c r="A249" s="8">
        <f t="shared" ca="1" si="13"/>
        <v>0</v>
      </c>
      <c r="G249" s="8">
        <f t="shared" ca="1" si="12"/>
        <v>0</v>
      </c>
    </row>
    <row r="250" spans="1:7" x14ac:dyDescent="0.3">
      <c r="A250" s="8">
        <f t="shared" ca="1" si="13"/>
        <v>0</v>
      </c>
      <c r="G250" s="8">
        <f t="shared" ca="1" si="12"/>
        <v>0</v>
      </c>
    </row>
    <row r="251" spans="1:7" x14ac:dyDescent="0.3">
      <c r="A251" s="8">
        <f t="shared" ca="1" si="13"/>
        <v>0</v>
      </c>
      <c r="G251" s="8">
        <f t="shared" ca="1" si="12"/>
        <v>0</v>
      </c>
    </row>
    <row r="252" spans="1:7" x14ac:dyDescent="0.3">
      <c r="A252" s="8">
        <f t="shared" ca="1" si="13"/>
        <v>0</v>
      </c>
      <c r="G252" s="8">
        <f t="shared" ca="1" si="12"/>
        <v>0</v>
      </c>
    </row>
    <row r="253" spans="1:7" x14ac:dyDescent="0.3">
      <c r="A253" s="8">
        <f t="shared" ca="1" si="13"/>
        <v>0</v>
      </c>
      <c r="G253" s="8">
        <f t="shared" ca="1" si="12"/>
        <v>0</v>
      </c>
    </row>
    <row r="254" spans="1:7" x14ac:dyDescent="0.3">
      <c r="A254" s="8">
        <f t="shared" ca="1" si="13"/>
        <v>0</v>
      </c>
      <c r="G254" s="8">
        <f t="shared" ca="1" si="12"/>
        <v>0</v>
      </c>
    </row>
    <row r="255" spans="1:7" x14ac:dyDescent="0.3">
      <c r="A255" s="8">
        <f t="shared" ca="1" si="13"/>
        <v>0</v>
      </c>
      <c r="G255" s="8">
        <f t="shared" ca="1" si="12"/>
        <v>0</v>
      </c>
    </row>
    <row r="256" spans="1:7" x14ac:dyDescent="0.3">
      <c r="A256" s="8">
        <f t="shared" ca="1" si="13"/>
        <v>0</v>
      </c>
      <c r="G256" s="8">
        <f t="shared" ca="1" si="12"/>
        <v>0</v>
      </c>
    </row>
    <row r="257" spans="1:7" x14ac:dyDescent="0.3">
      <c r="A257" s="8">
        <f t="shared" ca="1" si="13"/>
        <v>0</v>
      </c>
      <c r="G257" s="8">
        <f t="shared" ca="1" si="12"/>
        <v>0</v>
      </c>
    </row>
    <row r="258" spans="1:7" x14ac:dyDescent="0.3">
      <c r="A258" s="8">
        <f t="shared" ca="1" si="13"/>
        <v>0</v>
      </c>
      <c r="G258" s="8">
        <f t="shared" ca="1" si="12"/>
        <v>0</v>
      </c>
    </row>
    <row r="259" spans="1:7" x14ac:dyDescent="0.3">
      <c r="A259" s="8">
        <f t="shared" ca="1" si="13"/>
        <v>0</v>
      </c>
      <c r="G259" s="8">
        <f t="shared" ca="1" si="12"/>
        <v>0</v>
      </c>
    </row>
    <row r="260" spans="1:7" x14ac:dyDescent="0.3">
      <c r="A260" s="8">
        <f t="shared" ca="1" si="13"/>
        <v>0</v>
      </c>
      <c r="G260" s="8">
        <f t="shared" ca="1" si="12"/>
        <v>0</v>
      </c>
    </row>
    <row r="261" spans="1:7" x14ac:dyDescent="0.3">
      <c r="A261" s="8">
        <f t="shared" ca="1" si="13"/>
        <v>0</v>
      </c>
      <c r="G261" s="8">
        <f t="shared" ca="1" si="12"/>
        <v>0</v>
      </c>
    </row>
    <row r="262" spans="1:7" x14ac:dyDescent="0.3">
      <c r="A262" s="8">
        <f t="shared" ca="1" si="13"/>
        <v>0</v>
      </c>
      <c r="G262" s="8">
        <f t="shared" ca="1" si="12"/>
        <v>0</v>
      </c>
    </row>
    <row r="263" spans="1:7" x14ac:dyDescent="0.3">
      <c r="A263" s="8">
        <f t="shared" ca="1" si="13"/>
        <v>0</v>
      </c>
      <c r="G263" s="8">
        <f t="shared" ca="1" si="12"/>
        <v>0</v>
      </c>
    </row>
    <row r="264" spans="1:7" x14ac:dyDescent="0.3">
      <c r="A264" s="8">
        <f t="shared" ca="1" si="13"/>
        <v>0</v>
      </c>
      <c r="G264" s="8">
        <f t="shared" ca="1" si="12"/>
        <v>0</v>
      </c>
    </row>
    <row r="265" spans="1:7" x14ac:dyDescent="0.3">
      <c r="A265" s="8">
        <f t="shared" ca="1" si="13"/>
        <v>0</v>
      </c>
      <c r="G265" s="8">
        <f t="shared" ca="1" si="12"/>
        <v>0</v>
      </c>
    </row>
    <row r="266" spans="1:7" x14ac:dyDescent="0.3">
      <c r="A266" s="8">
        <f t="shared" ca="1" si="13"/>
        <v>0</v>
      </c>
      <c r="G266" s="8">
        <f t="shared" ca="1" si="12"/>
        <v>0</v>
      </c>
    </row>
    <row r="267" spans="1:7" x14ac:dyDescent="0.3">
      <c r="A267" s="8">
        <f t="shared" ca="1" si="13"/>
        <v>0</v>
      </c>
      <c r="G267" s="8">
        <f t="shared" ca="1" si="12"/>
        <v>0</v>
      </c>
    </row>
    <row r="268" spans="1:7" x14ac:dyDescent="0.3">
      <c r="A268" s="8">
        <f t="shared" ca="1" si="13"/>
        <v>0</v>
      </c>
      <c r="G268" s="8">
        <f t="shared" ca="1" si="12"/>
        <v>0</v>
      </c>
    </row>
    <row r="269" spans="1:7" x14ac:dyDescent="0.3">
      <c r="A269" s="8">
        <f t="shared" ca="1" si="13"/>
        <v>0</v>
      </c>
      <c r="G269" s="8">
        <f t="shared" ca="1" si="12"/>
        <v>0</v>
      </c>
    </row>
    <row r="270" spans="1:7" x14ac:dyDescent="0.3">
      <c r="A270" s="8">
        <f t="shared" ca="1" si="13"/>
        <v>0</v>
      </c>
      <c r="G270" s="8">
        <f t="shared" ca="1" si="12"/>
        <v>0</v>
      </c>
    </row>
    <row r="271" spans="1:7" x14ac:dyDescent="0.3">
      <c r="A271" s="8">
        <f t="shared" ca="1" si="13"/>
        <v>0</v>
      </c>
      <c r="G271" s="8">
        <f t="shared" ca="1" si="12"/>
        <v>0</v>
      </c>
    </row>
    <row r="272" spans="1:7" x14ac:dyDescent="0.3">
      <c r="A272" s="8">
        <f t="shared" ca="1" si="13"/>
        <v>0</v>
      </c>
      <c r="G272" s="8">
        <f t="shared" ca="1" si="12"/>
        <v>0</v>
      </c>
    </row>
    <row r="273" spans="1:7" x14ac:dyDescent="0.3">
      <c r="A273" s="8">
        <f t="shared" ca="1" si="13"/>
        <v>0</v>
      </c>
      <c r="G273" s="8">
        <f t="shared" ca="1" si="12"/>
        <v>0</v>
      </c>
    </row>
    <row r="274" spans="1:7" x14ac:dyDescent="0.3">
      <c r="A274" s="8">
        <f t="shared" ca="1" si="13"/>
        <v>0</v>
      </c>
      <c r="G274" s="8">
        <f t="shared" ca="1" si="12"/>
        <v>0</v>
      </c>
    </row>
    <row r="275" spans="1:7" x14ac:dyDescent="0.3">
      <c r="A275" s="8">
        <f t="shared" ca="1" si="13"/>
        <v>0</v>
      </c>
      <c r="G275" s="8">
        <f t="shared" ca="1" si="12"/>
        <v>0</v>
      </c>
    </row>
    <row r="276" spans="1:7" x14ac:dyDescent="0.3">
      <c r="A276" s="8">
        <f t="shared" ca="1" si="13"/>
        <v>0</v>
      </c>
      <c r="G276" s="8">
        <f t="shared" ca="1" si="12"/>
        <v>0</v>
      </c>
    </row>
    <row r="277" spans="1:7" x14ac:dyDescent="0.3">
      <c r="A277" s="8">
        <f t="shared" ca="1" si="13"/>
        <v>0</v>
      </c>
      <c r="G277" s="8">
        <f t="shared" ca="1" si="12"/>
        <v>0</v>
      </c>
    </row>
    <row r="278" spans="1:7" x14ac:dyDescent="0.3">
      <c r="A278" s="8">
        <f t="shared" ca="1" si="13"/>
        <v>0</v>
      </c>
      <c r="G278" s="8">
        <f t="shared" ca="1" si="12"/>
        <v>0</v>
      </c>
    </row>
    <row r="279" spans="1:7" x14ac:dyDescent="0.3">
      <c r="A279" s="8">
        <f t="shared" ca="1" si="13"/>
        <v>0</v>
      </c>
      <c r="G279" s="8">
        <f t="shared" ca="1" si="12"/>
        <v>0</v>
      </c>
    </row>
    <row r="280" spans="1:7" x14ac:dyDescent="0.3">
      <c r="A280" s="8">
        <f t="shared" ca="1" si="13"/>
        <v>0</v>
      </c>
      <c r="G280" s="8">
        <f t="shared" ca="1" si="12"/>
        <v>0</v>
      </c>
    </row>
    <row r="281" spans="1:7" x14ac:dyDescent="0.3">
      <c r="A281" s="8">
        <f t="shared" ca="1" si="13"/>
        <v>0</v>
      </c>
      <c r="G281" s="8">
        <f t="shared" ca="1" si="12"/>
        <v>0</v>
      </c>
    </row>
    <row r="282" spans="1:7" x14ac:dyDescent="0.3">
      <c r="A282" s="8">
        <f t="shared" ca="1" si="13"/>
        <v>0</v>
      </c>
      <c r="G282" s="8">
        <f t="shared" ca="1" si="12"/>
        <v>0</v>
      </c>
    </row>
    <row r="283" spans="1:7" x14ac:dyDescent="0.3">
      <c r="A283" s="8">
        <f t="shared" ca="1" si="13"/>
        <v>0</v>
      </c>
      <c r="G283" s="8">
        <f t="shared" ca="1" si="12"/>
        <v>0</v>
      </c>
    </row>
    <row r="284" spans="1:7" x14ac:dyDescent="0.3">
      <c r="A284" s="8">
        <f t="shared" ca="1" si="13"/>
        <v>0</v>
      </c>
      <c r="G284" s="8">
        <f t="shared" ca="1" si="12"/>
        <v>0</v>
      </c>
    </row>
    <row r="285" spans="1:7" x14ac:dyDescent="0.3">
      <c r="A285" s="8">
        <f t="shared" ca="1" si="13"/>
        <v>0</v>
      </c>
      <c r="G285" s="8">
        <f t="shared" ca="1" si="12"/>
        <v>0</v>
      </c>
    </row>
    <row r="286" spans="1:7" x14ac:dyDescent="0.3">
      <c r="A286" s="8">
        <f t="shared" ca="1" si="13"/>
        <v>0</v>
      </c>
      <c r="G286" s="8">
        <f t="shared" ca="1" si="12"/>
        <v>0</v>
      </c>
    </row>
    <row r="287" spans="1:7" x14ac:dyDescent="0.3">
      <c r="A287" s="8">
        <f t="shared" ca="1" si="13"/>
        <v>0</v>
      </c>
      <c r="G287" s="8">
        <f t="shared" ca="1" si="12"/>
        <v>0</v>
      </c>
    </row>
    <row r="288" spans="1:7" x14ac:dyDescent="0.3">
      <c r="A288" s="8">
        <f t="shared" ca="1" si="13"/>
        <v>0</v>
      </c>
      <c r="G288" s="8">
        <f t="shared" ref="G288:G351" ca="1" si="14">OFFSET($H288,0,LangOffset,1,1)</f>
        <v>0</v>
      </c>
    </row>
    <row r="289" spans="1:7" x14ac:dyDescent="0.3">
      <c r="A289" s="8">
        <f t="shared" ca="1" si="13"/>
        <v>0</v>
      </c>
      <c r="G289" s="8">
        <f t="shared" ca="1" si="14"/>
        <v>0</v>
      </c>
    </row>
    <row r="290" spans="1:7" x14ac:dyDescent="0.3">
      <c r="A290" s="8">
        <f t="shared" ca="1" si="13"/>
        <v>0</v>
      </c>
      <c r="G290" s="8">
        <f t="shared" ca="1" si="14"/>
        <v>0</v>
      </c>
    </row>
    <row r="291" spans="1:7" x14ac:dyDescent="0.3">
      <c r="A291" s="8">
        <f t="shared" ca="1" si="13"/>
        <v>0</v>
      </c>
      <c r="G291" s="8">
        <f t="shared" ca="1" si="14"/>
        <v>0</v>
      </c>
    </row>
    <row r="292" spans="1:7" x14ac:dyDescent="0.3">
      <c r="A292" s="8">
        <f t="shared" ca="1" si="13"/>
        <v>0</v>
      </c>
      <c r="G292" s="8">
        <f t="shared" ca="1" si="14"/>
        <v>0</v>
      </c>
    </row>
    <row r="293" spans="1:7" x14ac:dyDescent="0.3">
      <c r="A293" s="8">
        <f t="shared" ca="1" si="13"/>
        <v>0</v>
      </c>
      <c r="G293" s="8">
        <f t="shared" ca="1" si="14"/>
        <v>0</v>
      </c>
    </row>
    <row r="294" spans="1:7" x14ac:dyDescent="0.3">
      <c r="A294" s="8">
        <f t="shared" ca="1" si="13"/>
        <v>0</v>
      </c>
      <c r="G294" s="8">
        <f t="shared" ca="1" si="14"/>
        <v>0</v>
      </c>
    </row>
    <row r="295" spans="1:7" x14ac:dyDescent="0.3">
      <c r="A295" s="8">
        <f t="shared" ca="1" si="13"/>
        <v>0</v>
      </c>
      <c r="G295" s="8">
        <f t="shared" ca="1" si="14"/>
        <v>0</v>
      </c>
    </row>
    <row r="296" spans="1:7" x14ac:dyDescent="0.3">
      <c r="A296" s="8">
        <f t="shared" ca="1" si="13"/>
        <v>0</v>
      </c>
      <c r="G296" s="8">
        <f t="shared" ca="1" si="14"/>
        <v>0</v>
      </c>
    </row>
    <row r="297" spans="1:7" x14ac:dyDescent="0.3">
      <c r="A297" s="8">
        <f t="shared" ca="1" si="13"/>
        <v>0</v>
      </c>
      <c r="G297" s="8">
        <f t="shared" ca="1" si="14"/>
        <v>0</v>
      </c>
    </row>
    <row r="298" spans="1:7" x14ac:dyDescent="0.3">
      <c r="A298" s="8">
        <f t="shared" ca="1" si="13"/>
        <v>0</v>
      </c>
      <c r="G298" s="8">
        <f t="shared" ca="1" si="14"/>
        <v>0</v>
      </c>
    </row>
    <row r="299" spans="1:7" x14ac:dyDescent="0.3">
      <c r="A299" s="8">
        <f t="shared" ca="1" si="13"/>
        <v>0</v>
      </c>
      <c r="G299" s="8">
        <f t="shared" ca="1" si="14"/>
        <v>0</v>
      </c>
    </row>
    <row r="300" spans="1:7" x14ac:dyDescent="0.3">
      <c r="A300" s="8">
        <f t="shared" ca="1" si="13"/>
        <v>0</v>
      </c>
      <c r="G300" s="8">
        <f t="shared" ca="1" si="14"/>
        <v>0</v>
      </c>
    </row>
    <row r="301" spans="1:7" x14ac:dyDescent="0.3">
      <c r="A301" s="8">
        <f t="shared" ca="1" si="13"/>
        <v>0</v>
      </c>
      <c r="G301" s="8">
        <f t="shared" ca="1" si="14"/>
        <v>0</v>
      </c>
    </row>
    <row r="302" spans="1:7" x14ac:dyDescent="0.3">
      <c r="A302" s="8">
        <f t="shared" ca="1" si="13"/>
        <v>0</v>
      </c>
      <c r="G302" s="8">
        <f t="shared" ca="1" si="14"/>
        <v>0</v>
      </c>
    </row>
    <row r="303" spans="1:7" x14ac:dyDescent="0.3">
      <c r="A303" s="8">
        <f t="shared" ca="1" si="13"/>
        <v>0</v>
      </c>
      <c r="G303" s="8">
        <f t="shared" ca="1" si="14"/>
        <v>0</v>
      </c>
    </row>
    <row r="304" spans="1:7" x14ac:dyDescent="0.3">
      <c r="A304" s="8">
        <f t="shared" ca="1" si="13"/>
        <v>0</v>
      </c>
      <c r="G304" s="8">
        <f t="shared" ca="1" si="14"/>
        <v>0</v>
      </c>
    </row>
    <row r="305" spans="1:7" x14ac:dyDescent="0.3">
      <c r="A305" s="8">
        <f t="shared" ca="1" si="13"/>
        <v>0</v>
      </c>
      <c r="G305" s="8">
        <f t="shared" ca="1" si="14"/>
        <v>0</v>
      </c>
    </row>
    <row r="306" spans="1:7" x14ac:dyDescent="0.3">
      <c r="A306" s="8">
        <f t="shared" ca="1" si="13"/>
        <v>0</v>
      </c>
      <c r="G306" s="8">
        <f t="shared" ca="1" si="14"/>
        <v>0</v>
      </c>
    </row>
    <row r="307" spans="1:7" x14ac:dyDescent="0.3">
      <c r="A307" s="8">
        <f t="shared" ca="1" si="13"/>
        <v>0</v>
      </c>
      <c r="G307" s="8">
        <f t="shared" ca="1" si="14"/>
        <v>0</v>
      </c>
    </row>
    <row r="308" spans="1:7" x14ac:dyDescent="0.3">
      <c r="A308" s="8">
        <f t="shared" ca="1" si="13"/>
        <v>0</v>
      </c>
      <c r="G308" s="8">
        <f t="shared" ca="1" si="14"/>
        <v>0</v>
      </c>
    </row>
    <row r="309" spans="1:7" x14ac:dyDescent="0.3">
      <c r="A309" s="8">
        <f t="shared" ca="1" si="13"/>
        <v>0</v>
      </c>
      <c r="G309" s="8">
        <f t="shared" ca="1" si="14"/>
        <v>0</v>
      </c>
    </row>
    <row r="310" spans="1:7" x14ac:dyDescent="0.3">
      <c r="A310" s="8">
        <f t="shared" ca="1" si="13"/>
        <v>0</v>
      </c>
      <c r="G310" s="8">
        <f t="shared" ca="1" si="14"/>
        <v>0</v>
      </c>
    </row>
    <row r="311" spans="1:7" x14ac:dyDescent="0.3">
      <c r="A311" s="8">
        <f t="shared" ca="1" si="13"/>
        <v>0</v>
      </c>
      <c r="G311" s="8">
        <f t="shared" ca="1" si="14"/>
        <v>0</v>
      </c>
    </row>
    <row r="312" spans="1:7" x14ac:dyDescent="0.3">
      <c r="A312" s="8">
        <f t="shared" ref="A312:A375" ca="1" si="15">OFFSET($B312,0,LangOffset,1,1)</f>
        <v>0</v>
      </c>
      <c r="G312" s="8">
        <f t="shared" ca="1" si="14"/>
        <v>0</v>
      </c>
    </row>
    <row r="313" spans="1:7" x14ac:dyDescent="0.3">
      <c r="A313" s="8">
        <f t="shared" ca="1" si="15"/>
        <v>0</v>
      </c>
      <c r="G313" s="8">
        <f t="shared" ca="1" si="14"/>
        <v>0</v>
      </c>
    </row>
    <row r="314" spans="1:7" x14ac:dyDescent="0.3">
      <c r="A314" s="8">
        <f t="shared" ca="1" si="15"/>
        <v>0</v>
      </c>
      <c r="G314" s="8">
        <f t="shared" ca="1" si="14"/>
        <v>0</v>
      </c>
    </row>
    <row r="315" spans="1:7" x14ac:dyDescent="0.3">
      <c r="A315" s="8">
        <f t="shared" ca="1" si="15"/>
        <v>0</v>
      </c>
      <c r="G315" s="8">
        <f t="shared" ca="1" si="14"/>
        <v>0</v>
      </c>
    </row>
    <row r="316" spans="1:7" x14ac:dyDescent="0.3">
      <c r="A316" s="8">
        <f t="shared" ca="1" si="15"/>
        <v>0</v>
      </c>
      <c r="G316" s="8">
        <f t="shared" ca="1" si="14"/>
        <v>0</v>
      </c>
    </row>
    <row r="317" spans="1:7" x14ac:dyDescent="0.3">
      <c r="A317" s="8">
        <f t="shared" ca="1" si="15"/>
        <v>0</v>
      </c>
      <c r="G317" s="8">
        <f t="shared" ca="1" si="14"/>
        <v>0</v>
      </c>
    </row>
    <row r="318" spans="1:7" x14ac:dyDescent="0.3">
      <c r="A318" s="8">
        <f t="shared" ca="1" si="15"/>
        <v>0</v>
      </c>
      <c r="G318" s="8">
        <f t="shared" ca="1" si="14"/>
        <v>0</v>
      </c>
    </row>
    <row r="319" spans="1:7" x14ac:dyDescent="0.3">
      <c r="A319" s="8">
        <f t="shared" ca="1" si="15"/>
        <v>0</v>
      </c>
      <c r="G319" s="8">
        <f t="shared" ca="1" si="14"/>
        <v>0</v>
      </c>
    </row>
    <row r="320" spans="1:7" x14ac:dyDescent="0.3">
      <c r="A320" s="8">
        <f t="shared" ca="1" si="15"/>
        <v>0</v>
      </c>
      <c r="G320" s="8">
        <f t="shared" ca="1" si="14"/>
        <v>0</v>
      </c>
    </row>
    <row r="321" spans="1:7" x14ac:dyDescent="0.3">
      <c r="A321" s="8">
        <f t="shared" ca="1" si="15"/>
        <v>0</v>
      </c>
      <c r="G321" s="8">
        <f t="shared" ca="1" si="14"/>
        <v>0</v>
      </c>
    </row>
    <row r="322" spans="1:7" x14ac:dyDescent="0.3">
      <c r="A322" s="8">
        <f t="shared" ca="1" si="15"/>
        <v>0</v>
      </c>
      <c r="G322" s="8">
        <f t="shared" ca="1" si="14"/>
        <v>0</v>
      </c>
    </row>
    <row r="323" spans="1:7" x14ac:dyDescent="0.3">
      <c r="A323" s="8">
        <f t="shared" ca="1" si="15"/>
        <v>0</v>
      </c>
      <c r="G323" s="8">
        <f t="shared" ca="1" si="14"/>
        <v>0</v>
      </c>
    </row>
    <row r="324" spans="1:7" x14ac:dyDescent="0.3">
      <c r="A324" s="8">
        <f t="shared" ca="1" si="15"/>
        <v>0</v>
      </c>
      <c r="G324" s="8">
        <f t="shared" ca="1" si="14"/>
        <v>0</v>
      </c>
    </row>
    <row r="325" spans="1:7" x14ac:dyDescent="0.3">
      <c r="A325" s="8">
        <f t="shared" ca="1" si="15"/>
        <v>0</v>
      </c>
      <c r="G325" s="8">
        <f t="shared" ca="1" si="14"/>
        <v>0</v>
      </c>
    </row>
    <row r="326" spans="1:7" x14ac:dyDescent="0.3">
      <c r="A326" s="8">
        <f t="shared" ca="1" si="15"/>
        <v>0</v>
      </c>
      <c r="G326" s="8">
        <f t="shared" ca="1" si="14"/>
        <v>0</v>
      </c>
    </row>
    <row r="327" spans="1:7" x14ac:dyDescent="0.3">
      <c r="A327" s="8">
        <f t="shared" ca="1" si="15"/>
        <v>0</v>
      </c>
      <c r="G327" s="8">
        <f t="shared" ca="1" si="14"/>
        <v>0</v>
      </c>
    </row>
    <row r="328" spans="1:7" x14ac:dyDescent="0.3">
      <c r="A328" s="8">
        <f t="shared" ca="1" si="15"/>
        <v>0</v>
      </c>
      <c r="G328" s="8">
        <f t="shared" ca="1" si="14"/>
        <v>0</v>
      </c>
    </row>
    <row r="329" spans="1:7" x14ac:dyDescent="0.3">
      <c r="A329" s="8">
        <f t="shared" ca="1" si="15"/>
        <v>0</v>
      </c>
      <c r="G329" s="8">
        <f t="shared" ca="1" si="14"/>
        <v>0</v>
      </c>
    </row>
    <row r="330" spans="1:7" x14ac:dyDescent="0.3">
      <c r="A330" s="8">
        <f t="shared" ca="1" si="15"/>
        <v>0</v>
      </c>
      <c r="G330" s="8">
        <f t="shared" ca="1" si="14"/>
        <v>0</v>
      </c>
    </row>
    <row r="331" spans="1:7" x14ac:dyDescent="0.3">
      <c r="A331" s="8">
        <f t="shared" ca="1" si="15"/>
        <v>0</v>
      </c>
      <c r="G331" s="8">
        <f t="shared" ca="1" si="14"/>
        <v>0</v>
      </c>
    </row>
    <row r="332" spans="1:7" x14ac:dyDescent="0.3">
      <c r="A332" s="8">
        <f t="shared" ca="1" si="15"/>
        <v>0</v>
      </c>
      <c r="G332" s="8">
        <f t="shared" ca="1" si="14"/>
        <v>0</v>
      </c>
    </row>
    <row r="333" spans="1:7" x14ac:dyDescent="0.3">
      <c r="A333" s="8">
        <f t="shared" ca="1" si="15"/>
        <v>0</v>
      </c>
      <c r="G333" s="8">
        <f t="shared" ca="1" si="14"/>
        <v>0</v>
      </c>
    </row>
    <row r="334" spans="1:7" x14ac:dyDescent="0.3">
      <c r="A334" s="8">
        <f t="shared" ca="1" si="15"/>
        <v>0</v>
      </c>
      <c r="G334" s="8">
        <f t="shared" ca="1" si="14"/>
        <v>0</v>
      </c>
    </row>
    <row r="335" spans="1:7" x14ac:dyDescent="0.3">
      <c r="A335" s="8">
        <f t="shared" ca="1" si="15"/>
        <v>0</v>
      </c>
      <c r="G335" s="8">
        <f t="shared" ca="1" si="14"/>
        <v>0</v>
      </c>
    </row>
    <row r="336" spans="1:7" x14ac:dyDescent="0.3">
      <c r="A336" s="8">
        <f t="shared" ca="1" si="15"/>
        <v>0</v>
      </c>
      <c r="G336" s="8">
        <f t="shared" ca="1" si="14"/>
        <v>0</v>
      </c>
    </row>
    <row r="337" spans="1:7" x14ac:dyDescent="0.3">
      <c r="A337" s="8">
        <f t="shared" ca="1" si="15"/>
        <v>0</v>
      </c>
      <c r="G337" s="8">
        <f t="shared" ca="1" si="14"/>
        <v>0</v>
      </c>
    </row>
    <row r="338" spans="1:7" x14ac:dyDescent="0.3">
      <c r="A338" s="8">
        <f t="shared" ca="1" si="15"/>
        <v>0</v>
      </c>
      <c r="G338" s="8">
        <f t="shared" ca="1" si="14"/>
        <v>0</v>
      </c>
    </row>
    <row r="339" spans="1:7" x14ac:dyDescent="0.3">
      <c r="A339" s="8">
        <f t="shared" ca="1" si="15"/>
        <v>0</v>
      </c>
      <c r="G339" s="8">
        <f t="shared" ca="1" si="14"/>
        <v>0</v>
      </c>
    </row>
    <row r="340" spans="1:7" x14ac:dyDescent="0.3">
      <c r="A340" s="8">
        <f t="shared" ca="1" si="15"/>
        <v>0</v>
      </c>
      <c r="G340" s="8">
        <f t="shared" ca="1" si="14"/>
        <v>0</v>
      </c>
    </row>
    <row r="341" spans="1:7" x14ac:dyDescent="0.3">
      <c r="A341" s="8">
        <f t="shared" ca="1" si="15"/>
        <v>0</v>
      </c>
      <c r="G341" s="8">
        <f t="shared" ca="1" si="14"/>
        <v>0</v>
      </c>
    </row>
    <row r="342" spans="1:7" x14ac:dyDescent="0.3">
      <c r="A342" s="8">
        <f t="shared" ca="1" si="15"/>
        <v>0</v>
      </c>
      <c r="G342" s="8">
        <f t="shared" ca="1" si="14"/>
        <v>0</v>
      </c>
    </row>
    <row r="343" spans="1:7" x14ac:dyDescent="0.3">
      <c r="A343" s="8">
        <f t="shared" ca="1" si="15"/>
        <v>0</v>
      </c>
      <c r="G343" s="8">
        <f t="shared" ca="1" si="14"/>
        <v>0</v>
      </c>
    </row>
    <row r="344" spans="1:7" x14ac:dyDescent="0.3">
      <c r="A344" s="8">
        <f t="shared" ca="1" si="15"/>
        <v>0</v>
      </c>
      <c r="G344" s="8">
        <f t="shared" ca="1" si="14"/>
        <v>0</v>
      </c>
    </row>
    <row r="345" spans="1:7" x14ac:dyDescent="0.3">
      <c r="A345" s="8">
        <f t="shared" ca="1" si="15"/>
        <v>0</v>
      </c>
      <c r="G345" s="8">
        <f t="shared" ca="1" si="14"/>
        <v>0</v>
      </c>
    </row>
    <row r="346" spans="1:7" x14ac:dyDescent="0.3">
      <c r="A346" s="8">
        <f t="shared" ca="1" si="15"/>
        <v>0</v>
      </c>
      <c r="G346" s="8">
        <f t="shared" ca="1" si="14"/>
        <v>0</v>
      </c>
    </row>
    <row r="347" spans="1:7" x14ac:dyDescent="0.3">
      <c r="A347" s="8">
        <f t="shared" ca="1" si="15"/>
        <v>0</v>
      </c>
      <c r="G347" s="8">
        <f t="shared" ca="1" si="14"/>
        <v>0</v>
      </c>
    </row>
    <row r="348" spans="1:7" x14ac:dyDescent="0.3">
      <c r="A348" s="8">
        <f t="shared" ca="1" si="15"/>
        <v>0</v>
      </c>
      <c r="G348" s="8">
        <f t="shared" ca="1" si="14"/>
        <v>0</v>
      </c>
    </row>
    <row r="349" spans="1:7" x14ac:dyDescent="0.3">
      <c r="A349" s="8">
        <f t="shared" ca="1" si="15"/>
        <v>0</v>
      </c>
      <c r="G349" s="8">
        <f t="shared" ca="1" si="14"/>
        <v>0</v>
      </c>
    </row>
    <row r="350" spans="1:7" x14ac:dyDescent="0.3">
      <c r="A350" s="8">
        <f t="shared" ca="1" si="15"/>
        <v>0</v>
      </c>
      <c r="G350" s="8">
        <f t="shared" ca="1" si="14"/>
        <v>0</v>
      </c>
    </row>
    <row r="351" spans="1:7" x14ac:dyDescent="0.3">
      <c r="A351" s="8">
        <f t="shared" ca="1" si="15"/>
        <v>0</v>
      </c>
      <c r="G351" s="8">
        <f t="shared" ca="1" si="14"/>
        <v>0</v>
      </c>
    </row>
    <row r="352" spans="1:7" x14ac:dyDescent="0.3">
      <c r="A352" s="8">
        <f t="shared" ca="1" si="15"/>
        <v>0</v>
      </c>
      <c r="G352" s="8">
        <f t="shared" ref="G352:G415" ca="1" si="16">OFFSET($H352,0,LangOffset,1,1)</f>
        <v>0</v>
      </c>
    </row>
    <row r="353" spans="1:7" x14ac:dyDescent="0.3">
      <c r="A353" s="8">
        <f t="shared" ca="1" si="15"/>
        <v>0</v>
      </c>
      <c r="G353" s="8">
        <f t="shared" ca="1" si="16"/>
        <v>0</v>
      </c>
    </row>
    <row r="354" spans="1:7" x14ac:dyDescent="0.3">
      <c r="A354" s="8">
        <f t="shared" ca="1" si="15"/>
        <v>0</v>
      </c>
      <c r="G354" s="8">
        <f t="shared" ca="1" si="16"/>
        <v>0</v>
      </c>
    </row>
    <row r="355" spans="1:7" x14ac:dyDescent="0.3">
      <c r="A355" s="8">
        <f t="shared" ca="1" si="15"/>
        <v>0</v>
      </c>
      <c r="G355" s="8">
        <f t="shared" ca="1" si="16"/>
        <v>0</v>
      </c>
    </row>
    <row r="356" spans="1:7" x14ac:dyDescent="0.3">
      <c r="A356" s="8">
        <f t="shared" ca="1" si="15"/>
        <v>0</v>
      </c>
      <c r="G356" s="8">
        <f t="shared" ca="1" si="16"/>
        <v>0</v>
      </c>
    </row>
    <row r="357" spans="1:7" x14ac:dyDescent="0.3">
      <c r="A357" s="8">
        <f t="shared" ca="1" si="15"/>
        <v>0</v>
      </c>
      <c r="G357" s="8">
        <f t="shared" ca="1" si="16"/>
        <v>0</v>
      </c>
    </row>
    <row r="358" spans="1:7" x14ac:dyDescent="0.3">
      <c r="A358" s="8">
        <f t="shared" ca="1" si="15"/>
        <v>0</v>
      </c>
      <c r="G358" s="8">
        <f t="shared" ca="1" si="16"/>
        <v>0</v>
      </c>
    </row>
    <row r="359" spans="1:7" x14ac:dyDescent="0.3">
      <c r="A359" s="8">
        <f t="shared" ca="1" si="15"/>
        <v>0</v>
      </c>
      <c r="G359" s="8">
        <f t="shared" ca="1" si="16"/>
        <v>0</v>
      </c>
    </row>
    <row r="360" spans="1:7" x14ac:dyDescent="0.3">
      <c r="A360" s="8">
        <f t="shared" ca="1" si="15"/>
        <v>0</v>
      </c>
      <c r="G360" s="8">
        <f t="shared" ca="1" si="16"/>
        <v>0</v>
      </c>
    </row>
    <row r="361" spans="1:7" x14ac:dyDescent="0.3">
      <c r="A361" s="8">
        <f t="shared" ca="1" si="15"/>
        <v>0</v>
      </c>
      <c r="G361" s="8">
        <f t="shared" ca="1" si="16"/>
        <v>0</v>
      </c>
    </row>
    <row r="362" spans="1:7" x14ac:dyDescent="0.3">
      <c r="A362" s="8">
        <f t="shared" ca="1" si="15"/>
        <v>0</v>
      </c>
      <c r="G362" s="8">
        <f t="shared" ca="1" si="16"/>
        <v>0</v>
      </c>
    </row>
    <row r="363" spans="1:7" x14ac:dyDescent="0.3">
      <c r="A363" s="8">
        <f t="shared" ca="1" si="15"/>
        <v>0</v>
      </c>
      <c r="G363" s="8">
        <f t="shared" ca="1" si="16"/>
        <v>0</v>
      </c>
    </row>
    <row r="364" spans="1:7" x14ac:dyDescent="0.3">
      <c r="A364" s="8">
        <f t="shared" ca="1" si="15"/>
        <v>0</v>
      </c>
      <c r="G364" s="8">
        <f t="shared" ca="1" si="16"/>
        <v>0</v>
      </c>
    </row>
    <row r="365" spans="1:7" x14ac:dyDescent="0.3">
      <c r="A365" s="8">
        <f t="shared" ca="1" si="15"/>
        <v>0</v>
      </c>
      <c r="G365" s="8">
        <f t="shared" ca="1" si="16"/>
        <v>0</v>
      </c>
    </row>
    <row r="366" spans="1:7" x14ac:dyDescent="0.3">
      <c r="A366" s="8">
        <f t="shared" ca="1" si="15"/>
        <v>0</v>
      </c>
      <c r="G366" s="8">
        <f t="shared" ca="1" si="16"/>
        <v>0</v>
      </c>
    </row>
    <row r="367" spans="1:7" x14ac:dyDescent="0.3">
      <c r="A367" s="8">
        <f t="shared" ca="1" si="15"/>
        <v>0</v>
      </c>
      <c r="G367" s="8">
        <f t="shared" ca="1" si="16"/>
        <v>0</v>
      </c>
    </row>
    <row r="368" spans="1:7" x14ac:dyDescent="0.3">
      <c r="A368" s="8">
        <f t="shared" ca="1" si="15"/>
        <v>0</v>
      </c>
      <c r="G368" s="8">
        <f t="shared" ca="1" si="16"/>
        <v>0</v>
      </c>
    </row>
    <row r="369" spans="1:7" x14ac:dyDescent="0.3">
      <c r="A369" s="8">
        <f t="shared" ca="1" si="15"/>
        <v>0</v>
      </c>
      <c r="G369" s="8">
        <f t="shared" ca="1" si="16"/>
        <v>0</v>
      </c>
    </row>
    <row r="370" spans="1:7" x14ac:dyDescent="0.3">
      <c r="A370" s="8">
        <f t="shared" ca="1" si="15"/>
        <v>0</v>
      </c>
      <c r="G370" s="8">
        <f t="shared" ca="1" si="16"/>
        <v>0</v>
      </c>
    </row>
    <row r="371" spans="1:7" x14ac:dyDescent="0.3">
      <c r="A371" s="8">
        <f t="shared" ca="1" si="15"/>
        <v>0</v>
      </c>
      <c r="G371" s="8">
        <f t="shared" ca="1" si="16"/>
        <v>0</v>
      </c>
    </row>
    <row r="372" spans="1:7" x14ac:dyDescent="0.3">
      <c r="A372" s="8">
        <f t="shared" ca="1" si="15"/>
        <v>0</v>
      </c>
      <c r="G372" s="8">
        <f t="shared" ca="1" si="16"/>
        <v>0</v>
      </c>
    </row>
    <row r="373" spans="1:7" x14ac:dyDescent="0.3">
      <c r="A373" s="8">
        <f t="shared" ca="1" si="15"/>
        <v>0</v>
      </c>
      <c r="G373" s="8">
        <f t="shared" ca="1" si="16"/>
        <v>0</v>
      </c>
    </row>
    <row r="374" spans="1:7" x14ac:dyDescent="0.3">
      <c r="A374" s="8">
        <f t="shared" ca="1" si="15"/>
        <v>0</v>
      </c>
      <c r="G374" s="8">
        <f t="shared" ca="1" si="16"/>
        <v>0</v>
      </c>
    </row>
    <row r="375" spans="1:7" x14ac:dyDescent="0.3">
      <c r="A375" s="8">
        <f t="shared" ca="1" si="15"/>
        <v>0</v>
      </c>
      <c r="G375" s="8">
        <f t="shared" ca="1" si="16"/>
        <v>0</v>
      </c>
    </row>
    <row r="376" spans="1:7" x14ac:dyDescent="0.3">
      <c r="A376" s="8">
        <f t="shared" ref="A376:A439" ca="1" si="17">OFFSET($B376,0,LangOffset,1,1)</f>
        <v>0</v>
      </c>
      <c r="G376" s="8">
        <f t="shared" ca="1" si="16"/>
        <v>0</v>
      </c>
    </row>
    <row r="377" spans="1:7" x14ac:dyDescent="0.3">
      <c r="A377" s="8">
        <f t="shared" ca="1" si="17"/>
        <v>0</v>
      </c>
      <c r="G377" s="8">
        <f t="shared" ca="1" si="16"/>
        <v>0</v>
      </c>
    </row>
    <row r="378" spans="1:7" x14ac:dyDescent="0.3">
      <c r="A378" s="8">
        <f t="shared" ca="1" si="17"/>
        <v>0</v>
      </c>
      <c r="G378" s="8">
        <f t="shared" ca="1" si="16"/>
        <v>0</v>
      </c>
    </row>
    <row r="379" spans="1:7" x14ac:dyDescent="0.3">
      <c r="A379" s="8">
        <f t="shared" ca="1" si="17"/>
        <v>0</v>
      </c>
      <c r="G379" s="8">
        <f t="shared" ca="1" si="16"/>
        <v>0</v>
      </c>
    </row>
    <row r="380" spans="1:7" x14ac:dyDescent="0.3">
      <c r="A380" s="8">
        <f t="shared" ca="1" si="17"/>
        <v>0</v>
      </c>
      <c r="G380" s="8">
        <f t="shared" ca="1" si="16"/>
        <v>0</v>
      </c>
    </row>
    <row r="381" spans="1:7" x14ac:dyDescent="0.3">
      <c r="A381" s="8">
        <f t="shared" ca="1" si="17"/>
        <v>0</v>
      </c>
      <c r="G381" s="8">
        <f t="shared" ca="1" si="16"/>
        <v>0</v>
      </c>
    </row>
    <row r="382" spans="1:7" x14ac:dyDescent="0.3">
      <c r="A382" s="8">
        <f t="shared" ca="1" si="17"/>
        <v>0</v>
      </c>
      <c r="G382" s="8">
        <f t="shared" ca="1" si="16"/>
        <v>0</v>
      </c>
    </row>
    <row r="383" spans="1:7" x14ac:dyDescent="0.3">
      <c r="A383" s="8">
        <f t="shared" ca="1" si="17"/>
        <v>0</v>
      </c>
      <c r="G383" s="8">
        <f t="shared" ca="1" si="16"/>
        <v>0</v>
      </c>
    </row>
    <row r="384" spans="1:7" x14ac:dyDescent="0.3">
      <c r="A384" s="8">
        <f t="shared" ca="1" si="17"/>
        <v>0</v>
      </c>
      <c r="G384" s="8">
        <f t="shared" ca="1" si="16"/>
        <v>0</v>
      </c>
    </row>
    <row r="385" spans="1:7" x14ac:dyDescent="0.3">
      <c r="A385" s="8">
        <f t="shared" ca="1" si="17"/>
        <v>0</v>
      </c>
      <c r="G385" s="8">
        <f t="shared" ca="1" si="16"/>
        <v>0</v>
      </c>
    </row>
    <row r="386" spans="1:7" x14ac:dyDescent="0.3">
      <c r="A386" s="8">
        <f t="shared" ca="1" si="17"/>
        <v>0</v>
      </c>
      <c r="G386" s="8">
        <f t="shared" ca="1" si="16"/>
        <v>0</v>
      </c>
    </row>
    <row r="387" spans="1:7" x14ac:dyDescent="0.3">
      <c r="A387" s="8">
        <f t="shared" ca="1" si="17"/>
        <v>0</v>
      </c>
      <c r="G387" s="8">
        <f t="shared" ca="1" si="16"/>
        <v>0</v>
      </c>
    </row>
    <row r="388" spans="1:7" x14ac:dyDescent="0.3">
      <c r="A388" s="8">
        <f t="shared" ca="1" si="17"/>
        <v>0</v>
      </c>
      <c r="G388" s="8">
        <f t="shared" ca="1" si="16"/>
        <v>0</v>
      </c>
    </row>
    <row r="389" spans="1:7" x14ac:dyDescent="0.3">
      <c r="A389" s="8">
        <f t="shared" ca="1" si="17"/>
        <v>0</v>
      </c>
      <c r="G389" s="8">
        <f t="shared" ca="1" si="16"/>
        <v>0</v>
      </c>
    </row>
    <row r="390" spans="1:7" x14ac:dyDescent="0.3">
      <c r="A390" s="8">
        <f t="shared" ca="1" si="17"/>
        <v>0</v>
      </c>
      <c r="G390" s="8">
        <f t="shared" ca="1" si="16"/>
        <v>0</v>
      </c>
    </row>
    <row r="391" spans="1:7" x14ac:dyDescent="0.3">
      <c r="A391" s="8">
        <f t="shared" ca="1" si="17"/>
        <v>0</v>
      </c>
      <c r="G391" s="8">
        <f t="shared" ca="1" si="16"/>
        <v>0</v>
      </c>
    </row>
    <row r="392" spans="1:7" x14ac:dyDescent="0.3">
      <c r="A392" s="8">
        <f t="shared" ca="1" si="17"/>
        <v>0</v>
      </c>
      <c r="G392" s="8">
        <f t="shared" ca="1" si="16"/>
        <v>0</v>
      </c>
    </row>
    <row r="393" spans="1:7" x14ac:dyDescent="0.3">
      <c r="A393" s="8">
        <f t="shared" ca="1" si="17"/>
        <v>0</v>
      </c>
      <c r="G393" s="8">
        <f t="shared" ca="1" si="16"/>
        <v>0</v>
      </c>
    </row>
    <row r="394" spans="1:7" x14ac:dyDescent="0.3">
      <c r="A394" s="8">
        <f t="shared" ca="1" si="17"/>
        <v>0</v>
      </c>
      <c r="G394" s="8">
        <f t="shared" ca="1" si="16"/>
        <v>0</v>
      </c>
    </row>
    <row r="395" spans="1:7" x14ac:dyDescent="0.3">
      <c r="A395" s="8">
        <f t="shared" ca="1" si="17"/>
        <v>0</v>
      </c>
      <c r="G395" s="8">
        <f t="shared" ca="1" si="16"/>
        <v>0</v>
      </c>
    </row>
    <row r="396" spans="1:7" x14ac:dyDescent="0.3">
      <c r="A396" s="8">
        <f t="shared" ca="1" si="17"/>
        <v>0</v>
      </c>
      <c r="G396" s="8">
        <f t="shared" ca="1" si="16"/>
        <v>0</v>
      </c>
    </row>
    <row r="397" spans="1:7" x14ac:dyDescent="0.3">
      <c r="A397" s="8">
        <f t="shared" ca="1" si="17"/>
        <v>0</v>
      </c>
      <c r="G397" s="8">
        <f t="shared" ca="1" si="16"/>
        <v>0</v>
      </c>
    </row>
    <row r="398" spans="1:7" x14ac:dyDescent="0.3">
      <c r="A398" s="8">
        <f t="shared" ca="1" si="17"/>
        <v>0</v>
      </c>
      <c r="G398" s="8">
        <f t="shared" ca="1" si="16"/>
        <v>0</v>
      </c>
    </row>
    <row r="399" spans="1:7" x14ac:dyDescent="0.3">
      <c r="A399" s="8">
        <f t="shared" ca="1" si="17"/>
        <v>0</v>
      </c>
      <c r="G399" s="8">
        <f t="shared" ca="1" si="16"/>
        <v>0</v>
      </c>
    </row>
    <row r="400" spans="1:7" x14ac:dyDescent="0.3">
      <c r="A400" s="8">
        <f t="shared" ca="1" si="17"/>
        <v>0</v>
      </c>
      <c r="G400" s="8">
        <f t="shared" ca="1" si="16"/>
        <v>0</v>
      </c>
    </row>
    <row r="401" spans="1:7" x14ac:dyDescent="0.3">
      <c r="A401" s="8">
        <f t="shared" ca="1" si="17"/>
        <v>0</v>
      </c>
      <c r="G401" s="8">
        <f t="shared" ca="1" si="16"/>
        <v>0</v>
      </c>
    </row>
    <row r="402" spans="1:7" x14ac:dyDescent="0.3">
      <c r="A402" s="8">
        <f t="shared" ca="1" si="17"/>
        <v>0</v>
      </c>
      <c r="G402" s="8">
        <f t="shared" ca="1" si="16"/>
        <v>0</v>
      </c>
    </row>
    <row r="403" spans="1:7" x14ac:dyDescent="0.3">
      <c r="A403" s="8">
        <f t="shared" ca="1" si="17"/>
        <v>0</v>
      </c>
      <c r="G403" s="8">
        <f t="shared" ca="1" si="16"/>
        <v>0</v>
      </c>
    </row>
    <row r="404" spans="1:7" x14ac:dyDescent="0.3">
      <c r="A404" s="8">
        <f t="shared" ca="1" si="17"/>
        <v>0</v>
      </c>
      <c r="G404" s="8">
        <f t="shared" ca="1" si="16"/>
        <v>0</v>
      </c>
    </row>
    <row r="405" spans="1:7" x14ac:dyDescent="0.3">
      <c r="A405" s="8">
        <f t="shared" ca="1" si="17"/>
        <v>0</v>
      </c>
      <c r="G405" s="8">
        <f t="shared" ca="1" si="16"/>
        <v>0</v>
      </c>
    </row>
    <row r="406" spans="1:7" x14ac:dyDescent="0.3">
      <c r="A406" s="8">
        <f t="shared" ca="1" si="17"/>
        <v>0</v>
      </c>
      <c r="G406" s="8">
        <f t="shared" ca="1" si="16"/>
        <v>0</v>
      </c>
    </row>
    <row r="407" spans="1:7" x14ac:dyDescent="0.3">
      <c r="A407" s="8">
        <f t="shared" ca="1" si="17"/>
        <v>0</v>
      </c>
      <c r="G407" s="8">
        <f t="shared" ca="1" si="16"/>
        <v>0</v>
      </c>
    </row>
    <row r="408" spans="1:7" x14ac:dyDescent="0.3">
      <c r="A408" s="8">
        <f t="shared" ca="1" si="17"/>
        <v>0</v>
      </c>
      <c r="G408" s="8">
        <f t="shared" ca="1" si="16"/>
        <v>0</v>
      </c>
    </row>
    <row r="409" spans="1:7" x14ac:dyDescent="0.3">
      <c r="A409" s="8">
        <f t="shared" ca="1" si="17"/>
        <v>0</v>
      </c>
      <c r="G409" s="8">
        <f t="shared" ca="1" si="16"/>
        <v>0</v>
      </c>
    </row>
    <row r="410" spans="1:7" x14ac:dyDescent="0.3">
      <c r="A410" s="8">
        <f t="shared" ca="1" si="17"/>
        <v>0</v>
      </c>
      <c r="G410" s="8">
        <f t="shared" ca="1" si="16"/>
        <v>0</v>
      </c>
    </row>
    <row r="411" spans="1:7" x14ac:dyDescent="0.3">
      <c r="A411" s="8">
        <f t="shared" ca="1" si="17"/>
        <v>0</v>
      </c>
      <c r="G411" s="8">
        <f t="shared" ca="1" si="16"/>
        <v>0</v>
      </c>
    </row>
    <row r="412" spans="1:7" x14ac:dyDescent="0.3">
      <c r="A412" s="8">
        <f t="shared" ca="1" si="17"/>
        <v>0</v>
      </c>
      <c r="G412" s="8">
        <f t="shared" ca="1" si="16"/>
        <v>0</v>
      </c>
    </row>
    <row r="413" spans="1:7" x14ac:dyDescent="0.3">
      <c r="A413" s="8">
        <f t="shared" ca="1" si="17"/>
        <v>0</v>
      </c>
      <c r="G413" s="8">
        <f t="shared" ca="1" si="16"/>
        <v>0</v>
      </c>
    </row>
    <row r="414" spans="1:7" x14ac:dyDescent="0.3">
      <c r="A414" s="8">
        <f t="shared" ca="1" si="17"/>
        <v>0</v>
      </c>
      <c r="G414" s="8">
        <f t="shared" ca="1" si="16"/>
        <v>0</v>
      </c>
    </row>
    <row r="415" spans="1:7" x14ac:dyDescent="0.3">
      <c r="A415" s="8">
        <f t="shared" ca="1" si="17"/>
        <v>0</v>
      </c>
      <c r="G415" s="8">
        <f t="shared" ca="1" si="16"/>
        <v>0</v>
      </c>
    </row>
    <row r="416" spans="1:7" x14ac:dyDescent="0.3">
      <c r="A416" s="8">
        <f t="shared" ca="1" si="17"/>
        <v>0</v>
      </c>
      <c r="G416" s="8">
        <f t="shared" ref="G416:G479" ca="1" si="18">OFFSET($H416,0,LangOffset,1,1)</f>
        <v>0</v>
      </c>
    </row>
    <row r="417" spans="1:7" x14ac:dyDescent="0.3">
      <c r="A417" s="8">
        <f t="shared" ca="1" si="17"/>
        <v>0</v>
      </c>
      <c r="G417" s="8">
        <f t="shared" ca="1" si="18"/>
        <v>0</v>
      </c>
    </row>
    <row r="418" spans="1:7" x14ac:dyDescent="0.3">
      <c r="A418" s="8">
        <f t="shared" ca="1" si="17"/>
        <v>0</v>
      </c>
      <c r="G418" s="8">
        <f t="shared" ca="1" si="18"/>
        <v>0</v>
      </c>
    </row>
    <row r="419" spans="1:7" x14ac:dyDescent="0.3">
      <c r="A419" s="8">
        <f t="shared" ca="1" si="17"/>
        <v>0</v>
      </c>
      <c r="G419" s="8">
        <f t="shared" ca="1" si="18"/>
        <v>0</v>
      </c>
    </row>
    <row r="420" spans="1:7" x14ac:dyDescent="0.3">
      <c r="A420" s="8">
        <f t="shared" ca="1" si="17"/>
        <v>0</v>
      </c>
      <c r="G420" s="8">
        <f t="shared" ca="1" si="18"/>
        <v>0</v>
      </c>
    </row>
    <row r="421" spans="1:7" x14ac:dyDescent="0.3">
      <c r="A421" s="8">
        <f t="shared" ca="1" si="17"/>
        <v>0</v>
      </c>
      <c r="G421" s="8">
        <f t="shared" ca="1" si="18"/>
        <v>0</v>
      </c>
    </row>
    <row r="422" spans="1:7" x14ac:dyDescent="0.3">
      <c r="A422" s="8">
        <f t="shared" ca="1" si="17"/>
        <v>0</v>
      </c>
      <c r="G422" s="8">
        <f t="shared" ca="1" si="18"/>
        <v>0</v>
      </c>
    </row>
    <row r="423" spans="1:7" x14ac:dyDescent="0.3">
      <c r="A423" s="8">
        <f t="shared" ca="1" si="17"/>
        <v>0</v>
      </c>
      <c r="G423" s="8">
        <f t="shared" ca="1" si="18"/>
        <v>0</v>
      </c>
    </row>
    <row r="424" spans="1:7" x14ac:dyDescent="0.3">
      <c r="A424" s="8">
        <f t="shared" ca="1" si="17"/>
        <v>0</v>
      </c>
      <c r="G424" s="8">
        <f t="shared" ca="1" si="18"/>
        <v>0</v>
      </c>
    </row>
    <row r="425" spans="1:7" x14ac:dyDescent="0.3">
      <c r="A425" s="8">
        <f t="shared" ca="1" si="17"/>
        <v>0</v>
      </c>
      <c r="G425" s="8">
        <f t="shared" ca="1" si="18"/>
        <v>0</v>
      </c>
    </row>
    <row r="426" spans="1:7" x14ac:dyDescent="0.3">
      <c r="A426" s="8">
        <f t="shared" ca="1" si="17"/>
        <v>0</v>
      </c>
      <c r="G426" s="8">
        <f t="shared" ca="1" si="18"/>
        <v>0</v>
      </c>
    </row>
    <row r="427" spans="1:7" x14ac:dyDescent="0.3">
      <c r="A427" s="8">
        <f t="shared" ca="1" si="17"/>
        <v>0</v>
      </c>
      <c r="G427" s="8">
        <f t="shared" ca="1" si="18"/>
        <v>0</v>
      </c>
    </row>
    <row r="428" spans="1:7" x14ac:dyDescent="0.3">
      <c r="A428" s="8">
        <f t="shared" ca="1" si="17"/>
        <v>0</v>
      </c>
      <c r="G428" s="8">
        <f t="shared" ca="1" si="18"/>
        <v>0</v>
      </c>
    </row>
    <row r="429" spans="1:7" x14ac:dyDescent="0.3">
      <c r="A429" s="8">
        <f t="shared" ca="1" si="17"/>
        <v>0</v>
      </c>
      <c r="G429" s="8">
        <f t="shared" ca="1" si="18"/>
        <v>0</v>
      </c>
    </row>
    <row r="430" spans="1:7" x14ac:dyDescent="0.3">
      <c r="A430" s="8">
        <f t="shared" ca="1" si="17"/>
        <v>0</v>
      </c>
      <c r="G430" s="8">
        <f t="shared" ca="1" si="18"/>
        <v>0</v>
      </c>
    </row>
    <row r="431" spans="1:7" x14ac:dyDescent="0.3">
      <c r="A431" s="8">
        <f t="shared" ca="1" si="17"/>
        <v>0</v>
      </c>
      <c r="G431" s="8">
        <f t="shared" ca="1" si="18"/>
        <v>0</v>
      </c>
    </row>
    <row r="432" spans="1:7" x14ac:dyDescent="0.3">
      <c r="A432" s="8">
        <f t="shared" ca="1" si="17"/>
        <v>0</v>
      </c>
      <c r="G432" s="8">
        <f t="shared" ca="1" si="18"/>
        <v>0</v>
      </c>
    </row>
    <row r="433" spans="1:7" x14ac:dyDescent="0.3">
      <c r="A433" s="8">
        <f t="shared" ca="1" si="17"/>
        <v>0</v>
      </c>
      <c r="G433" s="8">
        <f t="shared" ca="1" si="18"/>
        <v>0</v>
      </c>
    </row>
    <row r="434" spans="1:7" x14ac:dyDescent="0.3">
      <c r="A434" s="8">
        <f t="shared" ca="1" si="17"/>
        <v>0</v>
      </c>
      <c r="G434" s="8">
        <f t="shared" ca="1" si="18"/>
        <v>0</v>
      </c>
    </row>
    <row r="435" spans="1:7" x14ac:dyDescent="0.3">
      <c r="A435" s="8">
        <f t="shared" ca="1" si="17"/>
        <v>0</v>
      </c>
      <c r="G435" s="8">
        <f t="shared" ca="1" si="18"/>
        <v>0</v>
      </c>
    </row>
    <row r="436" spans="1:7" x14ac:dyDescent="0.3">
      <c r="A436" s="8">
        <f t="shared" ca="1" si="17"/>
        <v>0</v>
      </c>
      <c r="G436" s="8">
        <f t="shared" ca="1" si="18"/>
        <v>0</v>
      </c>
    </row>
    <row r="437" spans="1:7" x14ac:dyDescent="0.3">
      <c r="A437" s="8">
        <f t="shared" ca="1" si="17"/>
        <v>0</v>
      </c>
      <c r="G437" s="8">
        <f t="shared" ca="1" si="18"/>
        <v>0</v>
      </c>
    </row>
    <row r="438" spans="1:7" x14ac:dyDescent="0.3">
      <c r="A438" s="8">
        <f t="shared" ca="1" si="17"/>
        <v>0</v>
      </c>
      <c r="G438" s="8">
        <f t="shared" ca="1" si="18"/>
        <v>0</v>
      </c>
    </row>
    <row r="439" spans="1:7" x14ac:dyDescent="0.3">
      <c r="A439" s="8">
        <f t="shared" ca="1" si="17"/>
        <v>0</v>
      </c>
      <c r="G439" s="8">
        <f t="shared" ca="1" si="18"/>
        <v>0</v>
      </c>
    </row>
    <row r="440" spans="1:7" x14ac:dyDescent="0.3">
      <c r="A440" s="8">
        <f t="shared" ref="A440:A503" ca="1" si="19">OFFSET($B440,0,LangOffset,1,1)</f>
        <v>0</v>
      </c>
      <c r="G440" s="8">
        <f t="shared" ca="1" si="18"/>
        <v>0</v>
      </c>
    </row>
    <row r="441" spans="1:7" x14ac:dyDescent="0.3">
      <c r="A441" s="8">
        <f t="shared" ca="1" si="19"/>
        <v>0</v>
      </c>
      <c r="G441" s="8">
        <f t="shared" ca="1" si="18"/>
        <v>0</v>
      </c>
    </row>
    <row r="442" spans="1:7" x14ac:dyDescent="0.3">
      <c r="A442" s="8">
        <f t="shared" ca="1" si="19"/>
        <v>0</v>
      </c>
      <c r="G442" s="8">
        <f t="shared" ca="1" si="18"/>
        <v>0</v>
      </c>
    </row>
    <row r="443" spans="1:7" x14ac:dyDescent="0.3">
      <c r="A443" s="8">
        <f t="shared" ca="1" si="19"/>
        <v>0</v>
      </c>
      <c r="G443" s="8">
        <f t="shared" ca="1" si="18"/>
        <v>0</v>
      </c>
    </row>
    <row r="444" spans="1:7" x14ac:dyDescent="0.3">
      <c r="A444" s="8">
        <f t="shared" ca="1" si="19"/>
        <v>0</v>
      </c>
      <c r="G444" s="8">
        <f t="shared" ca="1" si="18"/>
        <v>0</v>
      </c>
    </row>
    <row r="445" spans="1:7" x14ac:dyDescent="0.3">
      <c r="A445" s="8">
        <f t="shared" ca="1" si="19"/>
        <v>0</v>
      </c>
      <c r="G445" s="8">
        <f t="shared" ca="1" si="18"/>
        <v>0</v>
      </c>
    </row>
    <row r="446" spans="1:7" x14ac:dyDescent="0.3">
      <c r="A446" s="8">
        <f t="shared" ca="1" si="19"/>
        <v>0</v>
      </c>
      <c r="G446" s="8">
        <f t="shared" ca="1" si="18"/>
        <v>0</v>
      </c>
    </row>
    <row r="447" spans="1:7" x14ac:dyDescent="0.3">
      <c r="A447" s="8">
        <f t="shared" ca="1" si="19"/>
        <v>0</v>
      </c>
      <c r="G447" s="8">
        <f t="shared" ca="1" si="18"/>
        <v>0</v>
      </c>
    </row>
    <row r="448" spans="1:7" x14ac:dyDescent="0.3">
      <c r="A448" s="8">
        <f t="shared" ca="1" si="19"/>
        <v>0</v>
      </c>
      <c r="G448" s="8">
        <f t="shared" ca="1" si="18"/>
        <v>0</v>
      </c>
    </row>
    <row r="449" spans="1:7" x14ac:dyDescent="0.3">
      <c r="A449" s="8">
        <f t="shared" ca="1" si="19"/>
        <v>0</v>
      </c>
      <c r="G449" s="8">
        <f t="shared" ca="1" si="18"/>
        <v>0</v>
      </c>
    </row>
    <row r="450" spans="1:7" x14ac:dyDescent="0.3">
      <c r="A450" s="8">
        <f t="shared" ca="1" si="19"/>
        <v>0</v>
      </c>
      <c r="G450" s="8">
        <f t="shared" ca="1" si="18"/>
        <v>0</v>
      </c>
    </row>
    <row r="451" spans="1:7" x14ac:dyDescent="0.3">
      <c r="A451" s="8">
        <f t="shared" ca="1" si="19"/>
        <v>0</v>
      </c>
      <c r="G451" s="8">
        <f t="shared" ca="1" si="18"/>
        <v>0</v>
      </c>
    </row>
    <row r="452" spans="1:7" x14ac:dyDescent="0.3">
      <c r="A452" s="8">
        <f t="shared" ca="1" si="19"/>
        <v>0</v>
      </c>
      <c r="G452" s="8">
        <f t="shared" ca="1" si="18"/>
        <v>0</v>
      </c>
    </row>
    <row r="453" spans="1:7" x14ac:dyDescent="0.3">
      <c r="A453" s="8">
        <f t="shared" ca="1" si="19"/>
        <v>0</v>
      </c>
      <c r="G453" s="8">
        <f t="shared" ca="1" si="18"/>
        <v>0</v>
      </c>
    </row>
    <row r="454" spans="1:7" x14ac:dyDescent="0.3">
      <c r="A454" s="8">
        <f t="shared" ca="1" si="19"/>
        <v>0</v>
      </c>
      <c r="G454" s="8">
        <f t="shared" ca="1" si="18"/>
        <v>0</v>
      </c>
    </row>
    <row r="455" spans="1:7" x14ac:dyDescent="0.3">
      <c r="A455" s="8">
        <f t="shared" ca="1" si="19"/>
        <v>0</v>
      </c>
      <c r="G455" s="8">
        <f t="shared" ca="1" si="18"/>
        <v>0</v>
      </c>
    </row>
    <row r="456" spans="1:7" x14ac:dyDescent="0.3">
      <c r="A456" s="8">
        <f t="shared" ca="1" si="19"/>
        <v>0</v>
      </c>
      <c r="G456" s="8">
        <f t="shared" ca="1" si="18"/>
        <v>0</v>
      </c>
    </row>
    <row r="457" spans="1:7" x14ac:dyDescent="0.3">
      <c r="A457" s="8">
        <f t="shared" ca="1" si="19"/>
        <v>0</v>
      </c>
      <c r="G457" s="8">
        <f t="shared" ca="1" si="18"/>
        <v>0</v>
      </c>
    </row>
    <row r="458" spans="1:7" x14ac:dyDescent="0.3">
      <c r="A458" s="8">
        <f t="shared" ca="1" si="19"/>
        <v>0</v>
      </c>
      <c r="G458" s="8">
        <f t="shared" ca="1" si="18"/>
        <v>0</v>
      </c>
    </row>
    <row r="459" spans="1:7" x14ac:dyDescent="0.3">
      <c r="A459" s="8">
        <f t="shared" ca="1" si="19"/>
        <v>0</v>
      </c>
      <c r="G459" s="8">
        <f t="shared" ca="1" si="18"/>
        <v>0</v>
      </c>
    </row>
    <row r="460" spans="1:7" x14ac:dyDescent="0.3">
      <c r="A460" s="8">
        <f t="shared" ca="1" si="19"/>
        <v>0</v>
      </c>
      <c r="G460" s="8">
        <f t="shared" ca="1" si="18"/>
        <v>0</v>
      </c>
    </row>
    <row r="461" spans="1:7" x14ac:dyDescent="0.3">
      <c r="A461" s="8">
        <f t="shared" ca="1" si="19"/>
        <v>0</v>
      </c>
      <c r="G461" s="8">
        <f t="shared" ca="1" si="18"/>
        <v>0</v>
      </c>
    </row>
    <row r="462" spans="1:7" x14ac:dyDescent="0.3">
      <c r="A462" s="8">
        <f t="shared" ca="1" si="19"/>
        <v>0</v>
      </c>
      <c r="G462" s="8">
        <f t="shared" ca="1" si="18"/>
        <v>0</v>
      </c>
    </row>
    <row r="463" spans="1:7" x14ac:dyDescent="0.3">
      <c r="A463" s="8">
        <f t="shared" ca="1" si="19"/>
        <v>0</v>
      </c>
      <c r="G463" s="8">
        <f t="shared" ca="1" si="18"/>
        <v>0</v>
      </c>
    </row>
    <row r="464" spans="1:7" x14ac:dyDescent="0.3">
      <c r="A464" s="8">
        <f t="shared" ca="1" si="19"/>
        <v>0</v>
      </c>
      <c r="G464" s="8">
        <f t="shared" ca="1" si="18"/>
        <v>0</v>
      </c>
    </row>
    <row r="465" spans="1:7" x14ac:dyDescent="0.3">
      <c r="A465" s="8">
        <f t="shared" ca="1" si="19"/>
        <v>0</v>
      </c>
      <c r="G465" s="8">
        <f t="shared" ca="1" si="18"/>
        <v>0</v>
      </c>
    </row>
    <row r="466" spans="1:7" x14ac:dyDescent="0.3">
      <c r="A466" s="8">
        <f t="shared" ca="1" si="19"/>
        <v>0</v>
      </c>
      <c r="G466" s="8">
        <f t="shared" ca="1" si="18"/>
        <v>0</v>
      </c>
    </row>
    <row r="467" spans="1:7" x14ac:dyDescent="0.3">
      <c r="A467" s="8">
        <f t="shared" ca="1" si="19"/>
        <v>0</v>
      </c>
      <c r="G467" s="8">
        <f t="shared" ca="1" si="18"/>
        <v>0</v>
      </c>
    </row>
    <row r="468" spans="1:7" x14ac:dyDescent="0.3">
      <c r="A468" s="8">
        <f t="shared" ca="1" si="19"/>
        <v>0</v>
      </c>
      <c r="G468" s="8">
        <f t="shared" ca="1" si="18"/>
        <v>0</v>
      </c>
    </row>
    <row r="469" spans="1:7" x14ac:dyDescent="0.3">
      <c r="A469" s="8">
        <f t="shared" ca="1" si="19"/>
        <v>0</v>
      </c>
      <c r="G469" s="8">
        <f t="shared" ca="1" si="18"/>
        <v>0</v>
      </c>
    </row>
    <row r="470" spans="1:7" x14ac:dyDescent="0.3">
      <c r="A470" s="8">
        <f t="shared" ca="1" si="19"/>
        <v>0</v>
      </c>
      <c r="G470" s="8">
        <f t="shared" ca="1" si="18"/>
        <v>0</v>
      </c>
    </row>
    <row r="471" spans="1:7" x14ac:dyDescent="0.3">
      <c r="A471" s="8">
        <f t="shared" ca="1" si="19"/>
        <v>0</v>
      </c>
      <c r="G471" s="8">
        <f t="shared" ca="1" si="18"/>
        <v>0</v>
      </c>
    </row>
    <row r="472" spans="1:7" x14ac:dyDescent="0.3">
      <c r="A472" s="8">
        <f t="shared" ca="1" si="19"/>
        <v>0</v>
      </c>
      <c r="G472" s="8">
        <f t="shared" ca="1" si="18"/>
        <v>0</v>
      </c>
    </row>
    <row r="473" spans="1:7" x14ac:dyDescent="0.3">
      <c r="A473" s="8">
        <f t="shared" ca="1" si="19"/>
        <v>0</v>
      </c>
      <c r="G473" s="8">
        <f t="shared" ca="1" si="18"/>
        <v>0</v>
      </c>
    </row>
    <row r="474" spans="1:7" x14ac:dyDescent="0.3">
      <c r="A474" s="8">
        <f t="shared" ca="1" si="19"/>
        <v>0</v>
      </c>
      <c r="G474" s="8">
        <f t="shared" ca="1" si="18"/>
        <v>0</v>
      </c>
    </row>
    <row r="475" spans="1:7" x14ac:dyDescent="0.3">
      <c r="A475" s="8">
        <f t="shared" ca="1" si="19"/>
        <v>0</v>
      </c>
      <c r="G475" s="8">
        <f t="shared" ca="1" si="18"/>
        <v>0</v>
      </c>
    </row>
    <row r="476" spans="1:7" x14ac:dyDescent="0.3">
      <c r="A476" s="8">
        <f t="shared" ca="1" si="19"/>
        <v>0</v>
      </c>
      <c r="G476" s="8">
        <f t="shared" ca="1" si="18"/>
        <v>0</v>
      </c>
    </row>
    <row r="477" spans="1:7" x14ac:dyDescent="0.3">
      <c r="A477" s="8">
        <f t="shared" ca="1" si="19"/>
        <v>0</v>
      </c>
      <c r="G477" s="8">
        <f t="shared" ca="1" si="18"/>
        <v>0</v>
      </c>
    </row>
    <row r="478" spans="1:7" x14ac:dyDescent="0.3">
      <c r="A478" s="8">
        <f t="shared" ca="1" si="19"/>
        <v>0</v>
      </c>
      <c r="G478" s="8">
        <f t="shared" ca="1" si="18"/>
        <v>0</v>
      </c>
    </row>
    <row r="479" spans="1:7" x14ac:dyDescent="0.3">
      <c r="A479" s="8">
        <f t="shared" ca="1" si="19"/>
        <v>0</v>
      </c>
      <c r="G479" s="8">
        <f t="shared" ca="1" si="18"/>
        <v>0</v>
      </c>
    </row>
    <row r="480" spans="1:7" x14ac:dyDescent="0.3">
      <c r="A480" s="8">
        <f t="shared" ca="1" si="19"/>
        <v>0</v>
      </c>
      <c r="G480" s="8">
        <f t="shared" ref="G480:G529" ca="1" si="20">OFFSET($H480,0,LangOffset,1,1)</f>
        <v>0</v>
      </c>
    </row>
    <row r="481" spans="1:7" x14ac:dyDescent="0.3">
      <c r="A481" s="8">
        <f t="shared" ca="1" si="19"/>
        <v>0</v>
      </c>
      <c r="G481" s="8">
        <f t="shared" ca="1" si="20"/>
        <v>0</v>
      </c>
    </row>
    <row r="482" spans="1:7" x14ac:dyDescent="0.3">
      <c r="A482" s="8">
        <f t="shared" ca="1" si="19"/>
        <v>0</v>
      </c>
      <c r="G482" s="8">
        <f t="shared" ca="1" si="20"/>
        <v>0</v>
      </c>
    </row>
    <row r="483" spans="1:7" x14ac:dyDescent="0.3">
      <c r="A483" s="8">
        <f t="shared" ca="1" si="19"/>
        <v>0</v>
      </c>
      <c r="G483" s="8">
        <f t="shared" ca="1" si="20"/>
        <v>0</v>
      </c>
    </row>
    <row r="484" spans="1:7" x14ac:dyDescent="0.3">
      <c r="A484" s="8">
        <f t="shared" ca="1" si="19"/>
        <v>0</v>
      </c>
      <c r="G484" s="8">
        <f t="shared" ca="1" si="20"/>
        <v>0</v>
      </c>
    </row>
    <row r="485" spans="1:7" x14ac:dyDescent="0.3">
      <c r="A485" s="8">
        <f t="shared" ca="1" si="19"/>
        <v>0</v>
      </c>
      <c r="G485" s="8">
        <f t="shared" ca="1" si="20"/>
        <v>0</v>
      </c>
    </row>
    <row r="486" spans="1:7" x14ac:dyDescent="0.3">
      <c r="A486" s="8">
        <f t="shared" ca="1" si="19"/>
        <v>0</v>
      </c>
      <c r="G486" s="8">
        <f t="shared" ca="1" si="20"/>
        <v>0</v>
      </c>
    </row>
    <row r="487" spans="1:7" x14ac:dyDescent="0.3">
      <c r="A487" s="8">
        <f t="shared" ca="1" si="19"/>
        <v>0</v>
      </c>
      <c r="G487" s="8">
        <f t="shared" ca="1" si="20"/>
        <v>0</v>
      </c>
    </row>
    <row r="488" spans="1:7" x14ac:dyDescent="0.3">
      <c r="A488" s="8">
        <f t="shared" ca="1" si="19"/>
        <v>0</v>
      </c>
      <c r="G488" s="8">
        <f t="shared" ca="1" si="20"/>
        <v>0</v>
      </c>
    </row>
    <row r="489" spans="1:7" x14ac:dyDescent="0.3">
      <c r="A489" s="8">
        <f t="shared" ca="1" si="19"/>
        <v>0</v>
      </c>
      <c r="G489" s="8">
        <f t="shared" ca="1" si="20"/>
        <v>0</v>
      </c>
    </row>
    <row r="490" spans="1:7" x14ac:dyDescent="0.3">
      <c r="A490" s="8">
        <f t="shared" ca="1" si="19"/>
        <v>0</v>
      </c>
      <c r="G490" s="8">
        <f t="shared" ca="1" si="20"/>
        <v>0</v>
      </c>
    </row>
    <row r="491" spans="1:7" x14ac:dyDescent="0.3">
      <c r="A491" s="8">
        <f t="shared" ca="1" si="19"/>
        <v>0</v>
      </c>
      <c r="G491" s="8">
        <f t="shared" ca="1" si="20"/>
        <v>0</v>
      </c>
    </row>
    <row r="492" spans="1:7" x14ac:dyDescent="0.3">
      <c r="A492" s="8">
        <f t="shared" ca="1" si="19"/>
        <v>0</v>
      </c>
      <c r="G492" s="8">
        <f t="shared" ca="1" si="20"/>
        <v>0</v>
      </c>
    </row>
    <row r="493" spans="1:7" x14ac:dyDescent="0.3">
      <c r="A493" s="8">
        <f t="shared" ca="1" si="19"/>
        <v>0</v>
      </c>
      <c r="G493" s="8">
        <f t="shared" ca="1" si="20"/>
        <v>0</v>
      </c>
    </row>
    <row r="494" spans="1:7" x14ac:dyDescent="0.3">
      <c r="A494" s="8">
        <f t="shared" ca="1" si="19"/>
        <v>0</v>
      </c>
      <c r="G494" s="8">
        <f t="shared" ca="1" si="20"/>
        <v>0</v>
      </c>
    </row>
    <row r="495" spans="1:7" x14ac:dyDescent="0.3">
      <c r="A495" s="8">
        <f t="shared" ca="1" si="19"/>
        <v>0</v>
      </c>
      <c r="G495" s="8">
        <f t="shared" ca="1" si="20"/>
        <v>0</v>
      </c>
    </row>
    <row r="496" spans="1:7" x14ac:dyDescent="0.3">
      <c r="A496" s="8">
        <f t="shared" ca="1" si="19"/>
        <v>0</v>
      </c>
      <c r="G496" s="8">
        <f t="shared" ca="1" si="20"/>
        <v>0</v>
      </c>
    </row>
    <row r="497" spans="1:7" x14ac:dyDescent="0.3">
      <c r="A497" s="8">
        <f t="shared" ca="1" si="19"/>
        <v>0</v>
      </c>
      <c r="G497" s="8">
        <f t="shared" ca="1" si="20"/>
        <v>0</v>
      </c>
    </row>
    <row r="498" spans="1:7" x14ac:dyDescent="0.3">
      <c r="A498" s="8">
        <f t="shared" ca="1" si="19"/>
        <v>0</v>
      </c>
      <c r="G498" s="8">
        <f t="shared" ca="1" si="20"/>
        <v>0</v>
      </c>
    </row>
    <row r="499" spans="1:7" x14ac:dyDescent="0.3">
      <c r="A499" s="8">
        <f t="shared" ca="1" si="19"/>
        <v>0</v>
      </c>
      <c r="G499" s="8">
        <f t="shared" ca="1" si="20"/>
        <v>0</v>
      </c>
    </row>
    <row r="500" spans="1:7" x14ac:dyDescent="0.3">
      <c r="A500" s="8">
        <f t="shared" ca="1" si="19"/>
        <v>0</v>
      </c>
      <c r="G500" s="8">
        <f t="shared" ca="1" si="20"/>
        <v>0</v>
      </c>
    </row>
    <row r="501" spans="1:7" x14ac:dyDescent="0.3">
      <c r="A501" s="8">
        <f t="shared" ca="1" si="19"/>
        <v>0</v>
      </c>
      <c r="G501" s="8">
        <f t="shared" ca="1" si="20"/>
        <v>0</v>
      </c>
    </row>
    <row r="502" spans="1:7" x14ac:dyDescent="0.3">
      <c r="A502" s="8">
        <f t="shared" ca="1" si="19"/>
        <v>0</v>
      </c>
      <c r="G502" s="8">
        <f t="shared" ca="1" si="20"/>
        <v>0</v>
      </c>
    </row>
    <row r="503" spans="1:7" x14ac:dyDescent="0.3">
      <c r="A503" s="8">
        <f t="shared" ca="1" si="19"/>
        <v>0</v>
      </c>
      <c r="G503" s="8">
        <f t="shared" ca="1" si="20"/>
        <v>0</v>
      </c>
    </row>
    <row r="504" spans="1:7" x14ac:dyDescent="0.3">
      <c r="A504" s="8">
        <f t="shared" ref="A504:A518" ca="1" si="21">OFFSET($B504,0,LangOffset,1,1)</f>
        <v>0</v>
      </c>
      <c r="G504" s="8">
        <f t="shared" ca="1" si="20"/>
        <v>0</v>
      </c>
    </row>
    <row r="505" spans="1:7" x14ac:dyDescent="0.3">
      <c r="A505" s="8">
        <f t="shared" ca="1" si="21"/>
        <v>0</v>
      </c>
      <c r="G505" s="8">
        <f t="shared" ca="1" si="20"/>
        <v>0</v>
      </c>
    </row>
    <row r="506" spans="1:7" x14ac:dyDescent="0.3">
      <c r="A506" s="8">
        <f t="shared" ca="1" si="21"/>
        <v>0</v>
      </c>
      <c r="G506" s="8">
        <f t="shared" ca="1" si="20"/>
        <v>0</v>
      </c>
    </row>
    <row r="507" spans="1:7" x14ac:dyDescent="0.3">
      <c r="A507" s="8">
        <f t="shared" ca="1" si="21"/>
        <v>0</v>
      </c>
      <c r="G507" s="8">
        <f t="shared" ca="1" si="20"/>
        <v>0</v>
      </c>
    </row>
    <row r="508" spans="1:7" x14ac:dyDescent="0.3">
      <c r="A508" s="8">
        <f t="shared" ca="1" si="21"/>
        <v>0</v>
      </c>
      <c r="G508" s="8">
        <f t="shared" ca="1" si="20"/>
        <v>0</v>
      </c>
    </row>
    <row r="509" spans="1:7" x14ac:dyDescent="0.3">
      <c r="A509" s="8">
        <f t="shared" ca="1" si="21"/>
        <v>0</v>
      </c>
      <c r="G509" s="8">
        <f t="shared" ca="1" si="20"/>
        <v>0</v>
      </c>
    </row>
    <row r="510" spans="1:7" x14ac:dyDescent="0.3">
      <c r="A510" s="8">
        <f t="shared" ca="1" si="21"/>
        <v>0</v>
      </c>
      <c r="G510" s="8">
        <f t="shared" ca="1" si="20"/>
        <v>0</v>
      </c>
    </row>
    <row r="511" spans="1:7" x14ac:dyDescent="0.3">
      <c r="A511" s="8">
        <f t="shared" ca="1" si="21"/>
        <v>0</v>
      </c>
      <c r="G511" s="8">
        <f t="shared" ca="1" si="20"/>
        <v>0</v>
      </c>
    </row>
    <row r="512" spans="1:7" x14ac:dyDescent="0.3">
      <c r="A512" s="8">
        <f t="shared" ca="1" si="21"/>
        <v>0</v>
      </c>
      <c r="G512" s="8">
        <f t="shared" ca="1" si="20"/>
        <v>0</v>
      </c>
    </row>
    <row r="513" spans="1:7" x14ac:dyDescent="0.3">
      <c r="A513" s="8">
        <f t="shared" ca="1" si="21"/>
        <v>0</v>
      </c>
      <c r="G513" s="8">
        <f t="shared" ca="1" si="20"/>
        <v>0</v>
      </c>
    </row>
    <row r="514" spans="1:7" x14ac:dyDescent="0.3">
      <c r="A514" s="8">
        <f t="shared" ca="1" si="21"/>
        <v>0</v>
      </c>
      <c r="G514" s="8">
        <f t="shared" ca="1" si="20"/>
        <v>0</v>
      </c>
    </row>
    <row r="515" spans="1:7" x14ac:dyDescent="0.3">
      <c r="A515" s="8">
        <f t="shared" ca="1" si="21"/>
        <v>0</v>
      </c>
      <c r="G515" s="8">
        <f t="shared" ca="1" si="20"/>
        <v>0</v>
      </c>
    </row>
    <row r="516" spans="1:7" x14ac:dyDescent="0.3">
      <c r="A516" s="8">
        <f t="shared" ca="1" si="21"/>
        <v>0</v>
      </c>
      <c r="G516" s="8">
        <f t="shared" ca="1" si="20"/>
        <v>0</v>
      </c>
    </row>
    <row r="517" spans="1:7" x14ac:dyDescent="0.3">
      <c r="A517" s="8">
        <f t="shared" ca="1" si="21"/>
        <v>0</v>
      </c>
      <c r="G517" s="8">
        <f t="shared" ca="1" si="20"/>
        <v>0</v>
      </c>
    </row>
    <row r="518" spans="1:7" x14ac:dyDescent="0.3">
      <c r="A518" s="8">
        <f t="shared" ca="1" si="21"/>
        <v>0</v>
      </c>
      <c r="G518" s="8">
        <f t="shared" ca="1" si="20"/>
        <v>0</v>
      </c>
    </row>
    <row r="519" spans="1:7" x14ac:dyDescent="0.3">
      <c r="G519" s="8">
        <f t="shared" ca="1" si="20"/>
        <v>0</v>
      </c>
    </row>
    <row r="520" spans="1:7" x14ac:dyDescent="0.3">
      <c r="G520" s="8">
        <f t="shared" ca="1" si="20"/>
        <v>0</v>
      </c>
    </row>
    <row r="521" spans="1:7" x14ac:dyDescent="0.3">
      <c r="G521" s="8">
        <f t="shared" ca="1" si="20"/>
        <v>0</v>
      </c>
    </row>
    <row r="522" spans="1:7" x14ac:dyDescent="0.3">
      <c r="G522" s="8">
        <f t="shared" ca="1" si="20"/>
        <v>0</v>
      </c>
    </row>
    <row r="523" spans="1:7" x14ac:dyDescent="0.3">
      <c r="G523" s="8">
        <f t="shared" ca="1" si="20"/>
        <v>0</v>
      </c>
    </row>
    <row r="524" spans="1:7" x14ac:dyDescent="0.3">
      <c r="G524" s="8">
        <f t="shared" ca="1" si="20"/>
        <v>0</v>
      </c>
    </row>
    <row r="525" spans="1:7" x14ac:dyDescent="0.3">
      <c r="G525" s="8">
        <f t="shared" ca="1" si="20"/>
        <v>0</v>
      </c>
    </row>
    <row r="526" spans="1:7" x14ac:dyDescent="0.3">
      <c r="G526" s="8">
        <f t="shared" ca="1" si="20"/>
        <v>0</v>
      </c>
    </row>
    <row r="527" spans="1:7" x14ac:dyDescent="0.3">
      <c r="G527" s="8">
        <f t="shared" ca="1" si="20"/>
        <v>0</v>
      </c>
    </row>
    <row r="528" spans="1:7" x14ac:dyDescent="0.3">
      <c r="G528" s="8">
        <f t="shared" ca="1" si="20"/>
        <v>0</v>
      </c>
    </row>
    <row r="529" spans="7:7" x14ac:dyDescent="0.3">
      <c r="G529" s="8">
        <f t="shared" ca="1" si="20"/>
        <v>0</v>
      </c>
    </row>
  </sheetData>
  <sheetProtection password="E205" sheet="1" objects="1" scenarios="1"/>
  <hyperlinks>
    <hyperlink ref="H84" r:id="rId1" xr:uid="{00000000-0004-0000-0900-000000000000}"/>
    <hyperlink ref="I84" r:id="rId2" xr:uid="{00000000-0004-0000-0900-000001000000}"/>
    <hyperlink ref="J84" r:id="rId3" xr:uid="{00000000-0004-0000-0900-000002000000}"/>
  </hyperlinks>
  <pageMargins left="0.7" right="0.7" top="0.75" bottom="0.75" header="0.3" footer="0.3"/>
  <pageSetup paperSize="9" orientation="portrait"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1"/>
  </sheetPr>
  <dimension ref="A1:G115"/>
  <sheetViews>
    <sheetView view="pageBreakPreview" zoomScale="85" zoomScaleNormal="125" zoomScaleSheetLayoutView="85" zoomScalePageLayoutView="125" workbookViewId="0">
      <selection activeCell="B6" sqref="B6:D6"/>
    </sheetView>
  </sheetViews>
  <sheetFormatPr baseColWidth="10" defaultColWidth="9" defaultRowHeight="14" x14ac:dyDescent="0.3"/>
  <cols>
    <col min="1" max="1" width="10.08203125" style="27" customWidth="1"/>
    <col min="2" max="5" width="9.58203125" style="27" customWidth="1"/>
    <col min="6" max="6" width="12.08203125" style="27" customWidth="1"/>
    <col min="7" max="7" width="66.08203125" style="27" customWidth="1"/>
    <col min="8" max="16384" width="9" style="27"/>
  </cols>
  <sheetData>
    <row r="1" spans="1:7" ht="18.75" customHeight="1" thickBot="1" x14ac:dyDescent="0.35">
      <c r="A1" s="312" t="s">
        <v>24</v>
      </c>
      <c r="B1" s="312"/>
      <c r="C1" s="312"/>
      <c r="D1" s="312"/>
      <c r="E1" s="312"/>
      <c r="F1" s="312"/>
      <c r="G1" s="317" t="str">
        <f ca="1">Translations!$G$116</f>
        <v>Dernière version mise à jour mars 2020</v>
      </c>
    </row>
    <row r="2" spans="1:7" ht="18.75" customHeight="1" thickBot="1" x14ac:dyDescent="0.35">
      <c r="A2" s="312" t="s">
        <v>516</v>
      </c>
      <c r="B2" s="312"/>
      <c r="C2" s="312"/>
      <c r="D2" s="312"/>
      <c r="E2" s="312"/>
      <c r="F2" s="312"/>
      <c r="G2" s="317"/>
    </row>
    <row r="3" spans="1:7" ht="18.75" customHeight="1" thickBot="1" x14ac:dyDescent="0.35">
      <c r="A3" s="312" t="s">
        <v>517</v>
      </c>
      <c r="B3" s="312"/>
      <c r="C3" s="312"/>
      <c r="D3" s="312"/>
      <c r="E3" s="312"/>
      <c r="F3" s="312"/>
      <c r="G3" s="317"/>
    </row>
    <row r="4" spans="1:7" ht="13.5" hidden="1" customHeight="1" thickBot="1" x14ac:dyDescent="0.35">
      <c r="A4" s="236"/>
      <c r="B4" s="236"/>
      <c r="C4" s="236"/>
      <c r="D4" s="236"/>
      <c r="E4" s="236"/>
      <c r="F4" s="236"/>
      <c r="G4" s="237"/>
    </row>
    <row r="5" spans="1:7" ht="13.5" hidden="1" customHeight="1" thickBot="1" x14ac:dyDescent="0.35">
      <c r="A5" s="236"/>
      <c r="B5" s="236"/>
      <c r="C5" s="236"/>
      <c r="D5" s="236"/>
      <c r="E5" s="236"/>
      <c r="F5" s="236"/>
      <c r="G5" s="237"/>
    </row>
    <row r="6" spans="1:7" ht="25.5" customHeight="1" thickBot="1" x14ac:dyDescent="0.35">
      <c r="A6" s="238" t="s">
        <v>22</v>
      </c>
      <c r="B6" s="313" t="s">
        <v>28</v>
      </c>
      <c r="C6" s="313"/>
      <c r="D6" s="313"/>
      <c r="E6" s="239"/>
      <c r="F6" s="239"/>
      <c r="G6" s="240"/>
    </row>
    <row r="7" spans="1:7" ht="6" hidden="1" customHeight="1" x14ac:dyDescent="0.3">
      <c r="A7" s="236"/>
      <c r="B7" s="236"/>
      <c r="C7" s="236"/>
      <c r="D7" s="236"/>
      <c r="E7" s="236"/>
      <c r="F7" s="236"/>
      <c r="G7" s="237"/>
    </row>
    <row r="8" spans="1:7" ht="28.5" customHeight="1" thickBot="1" x14ac:dyDescent="0.35">
      <c r="A8" s="314" t="str">
        <f ca="1">Translations!G3</f>
        <v xml:space="preserve">INSTRUCTIONS – Modules prioritaires pour le VIH </v>
      </c>
      <c r="B8" s="314"/>
      <c r="C8" s="314"/>
      <c r="D8" s="314"/>
      <c r="E8" s="314"/>
      <c r="F8" s="314"/>
      <c r="G8" s="314"/>
    </row>
    <row r="9" spans="1:7" ht="16" hidden="1" thickBot="1" x14ac:dyDescent="0.35">
      <c r="A9" s="315">
        <f ca="1">Translations!$G4</f>
        <v>0</v>
      </c>
      <c r="B9" s="315"/>
      <c r="C9" s="315"/>
      <c r="D9" s="315"/>
      <c r="E9" s="315"/>
      <c r="F9" s="315"/>
      <c r="G9" s="315"/>
    </row>
    <row r="10" spans="1:7" ht="385.5" customHeight="1" thickBot="1" x14ac:dyDescent="0.35">
      <c r="A10" s="304" t="str">
        <f ca="1">Translations!G5</f>
        <v>Merci de bien vouloir remplir des tableaux séparés pour les modules prioritaires 3 à 6 dans la demande de financement relative au VIH. La liste suivante précise les modules possibles et les interventions correspondantes. Ne remplissez des tableaux que pour les interventions/indicateurs pouvant faire l'objet d'un soutien et pour lesquels un financement est demandé. Consultez le Manuel du cadre modulaire pour obtenir la liste de l'ensemble des modules et des interventions, avec leur description et leurs indicateurs respectifs. 
Pour obtenir des indications au moment de remplir ce tableau des déficits programmatiques, reportez-vous à la note d'information du Fonds mondial sur le VIH, dans laquelle vous trouverez des références aux documents d'orientation techniques appropriés. 
Modules prioritaires :
- Traitement, prise en charge et soutien
          -&gt; Prestation de services et prise en charge différenciées pour les traitements antirétroviraux
- TB/VIH
          -&gt; Dépistage, test et diagnostic
          -&gt; Traitement
          -&gt; Traitement préventif de la tuberculose (TPT)
- PTME
          -&gt; Prévention de la transmission verticale du VIH
- Programmes de prévention destinés aux populations clés*
          -&gt; Ensemble défini de services 
          -&gt; Prophylaxie préexposition (PrEP)
- Programmes de prévention destinés aux personnes qui s'injectent des drogues et à leurs partenaires
          -&gt; Programmes liés aux aiguilles et de seringues
          -&gt; Traitements de substitution aux opiacés et autres traitements de la dépendance pour les usagers de drogues injectables
- Prévention 
          -&gt; Circoncision médicale masculine volontaire
          -&gt; Programmmation nationale des préservatifs - toutes les populations prioritaires
- Services de dépistage différenciés du VIH**</v>
      </c>
      <c r="B10" s="304"/>
      <c r="C10" s="304"/>
      <c r="D10" s="304"/>
      <c r="E10" s="304"/>
      <c r="F10" s="304"/>
      <c r="G10" s="304"/>
    </row>
    <row r="11" spans="1:7" ht="125.25" customHeight="1" thickBot="1" x14ac:dyDescent="0.35">
      <c r="A11" s="316" t="str">
        <f ca="1">Translations!$G$6</f>
        <v>* Ces modules concernent les populations clés et vulnérables suivantes : les hommes qui ont des rapports sexuels avec d'autres hommes; les professionnel(le)s du sexe et leurs clients; les personnes transgenres ; personnes qui s'injectent des drogues et leurs partenaires  ; les personnes incarcérées ou se trouvant dans d'autres lieux fermés; les adolescentes et les jeunes femmes dans des contextes à forte prévalence;  les hommes dans des contextes à forte prévalence; les autres populations vulnérables.
** Ce module couvre les populations suivantes:  les hommes qui ont des rapports sexuels avec d'autres hommes; les professionnel(le)s du sexe et leurs clients ; les personnes transgenres; les personnes qui s'injectent des drogues et leurs partenaires ; les personnes incarcérées ou se trouvant dans d'autres lieux fermés ; les adolescentes et les jeunes femmes dans des contextes à forte prévalence;  les hommes dans des contextes à forte prévalence; les partenaires des personnes vivant avec le VIH et les autres populations vulnérables.</v>
      </c>
      <c r="B11" s="316"/>
      <c r="C11" s="316"/>
      <c r="D11" s="316"/>
      <c r="E11" s="316"/>
      <c r="F11" s="316"/>
      <c r="G11" s="316"/>
    </row>
    <row r="12" spans="1:7" ht="365.25" customHeight="1" thickBot="1" x14ac:dyDescent="0.35">
      <c r="A12" s="304" t="str">
        <f ca="1">Translations!G7</f>
        <v xml:space="preserve">Pour commencer le remplissage de chaque tableau sous l'onglet "HIV Tables" , précisez le module/intervention prioritaire souhaité en le sélectionnant dans la liste déroulante qui se trouve à côté de la cellule « Module prioritaire ». L'indicateur de couverture correspondant s'affiche alors automatiquement. Des informations doivent être saisies dans les cellules vides avec fond blanc. Les cellules avec fond violet se rempliront alors automatiquement.
Après avoir sélectionné le module/l'intervention, précisez la population cible dans la liste déroulante prévue à côté de la cellule « Population cible ».
Pour les modules portant sur la prévention, complétez un tableau d'analyse des déficits distinct pour chacune des populations clés ciblées par le programme, sauf pour le tableau des déficits des préservatifs. Pour ce qui est des traitements antirétroviraux, nous vous encourageons à remplir des tableaux distincts pour les adultes et pour les enfants, mais il est également possible de ne remplir qu'un seul tableau agrégé.
La plupart des tableaux doivent être remplis dans l'onglet « HIV Tables » ; cependant, vous trouverez des tableaux adaptés pour la circoncision masculine, la PrEP, les programmes concernant les distributions de préservatifs, de seringues et d'aiguilles dans des onglets distincts. Dans ces tableaux, la rangée du module prioritaire a été préremplie. Veuillez noter que seul un tableau doit être complété pour les populations prioritaires. Des tableaux séparés par population ne sont pas nécessaires.
Si vous présentez des demandes de financement distinctes pour la tuberculose et pour le VIH, des tableaux d’analyse des déficits programmatiques pour la tuberculose et le VIH devront figurer dans chacune de ces demandes. Dans le cas d’une demande de financement commune pour la tuberculose et le VIH, remplissez les tableaux figurant dans le fichier Excel des déficits relatifs aux programmes communs pour le VIH et la tuberculose.
Les instructions suivantes fournissent des informations détaillées sur la façon de remplir le tableau des déficits programmatiques pour chaque module. Notez que l'intervention conjointe de lutte contre la tuberculose et le VIH est associée à plusieurs indicateurs de couverture, ce qui impose de remplir des tableaux distincts. Souvenez-vous que vous ne devez remplir que les tableaux des modules prioritaires 3 à 6. </v>
      </c>
      <c r="B12" s="304"/>
      <c r="C12" s="304"/>
      <c r="D12" s="304"/>
      <c r="E12" s="304"/>
      <c r="F12" s="304"/>
      <c r="G12" s="304"/>
    </row>
    <row r="13" spans="1:7" s="80" customFormat="1" ht="67.5" customHeight="1" thickBot="1" x14ac:dyDescent="0.35">
      <c r="A13" s="304" t="str">
        <f ca="1">Translations!G8</f>
        <v>Dans les cas où les indicateurs utilisés par le pays sont formulés différemment de ce qui est inclus dans les tableaux des déficits programmatiques (mais que la mesure est identique), veuillez inclure la définition du pays dans la section commentaires.
La feuille « Blank table » contient un tableau vierge qui pourra être utilisé si le nombre de tableaux fournis dans le classeur Excel est insuffisant ou si le candidat souhaite soumettre un tableau pour un module/une intervention/ un indicateur qui n'apparaît pas dans les instructions ci-dessous.</v>
      </c>
      <c r="B13" s="304"/>
      <c r="C13" s="304"/>
      <c r="D13" s="304"/>
      <c r="E13" s="304"/>
      <c r="F13" s="304"/>
      <c r="G13" s="304"/>
    </row>
    <row r="14" spans="1:7" ht="16" thickBot="1" x14ac:dyDescent="0.35">
      <c r="A14" s="300" t="s">
        <v>105</v>
      </c>
      <c r="B14" s="300"/>
      <c r="C14" s="300"/>
      <c r="D14" s="300"/>
      <c r="E14" s="300"/>
      <c r="F14" s="300"/>
      <c r="G14" s="300"/>
    </row>
    <row r="15" spans="1:7" ht="38.25" customHeight="1" thickBot="1" x14ac:dyDescent="0.35">
      <c r="A15" s="310" t="str">
        <f ca="1">Translations!G10</f>
        <v>Traitement, prise en charge et soutien - Prestation de services et prise en charge différenciées pour les traitements antirétroviraux (remplir des tableaux distincts pour les adultes et pour les enfants)</v>
      </c>
      <c r="B15" s="310"/>
      <c r="C15" s="310"/>
      <c r="D15" s="310"/>
      <c r="E15" s="310"/>
      <c r="F15" s="310"/>
      <c r="G15" s="310"/>
    </row>
    <row r="16" spans="1:7" ht="51" customHeight="1" thickBot="1" x14ac:dyDescent="0.35">
      <c r="A16" s="303" t="str">
        <f ca="1">Translations!G11</f>
        <v>Indicateur de couverture : 
Pourcentage de personnes vivant avec le VIH bénéficiant actuellement d'un traitement antirétroviral</v>
      </c>
      <c r="B16" s="303"/>
      <c r="C16" s="303"/>
      <c r="D16" s="303"/>
      <c r="E16" s="303"/>
      <c r="F16" s="303"/>
      <c r="G16" s="303"/>
    </row>
    <row r="17" spans="1:7" ht="60.75" customHeight="1" thickBot="1" x14ac:dyDescent="0.35">
      <c r="A17" s="303" t="str">
        <f ca="1">Translations!G12</f>
        <v>Estimation des populations dans le besoin/à risque:
Cela se rapporte à l'ensemble des adultes et enfants vivant avec le VIH</v>
      </c>
      <c r="B17" s="303"/>
      <c r="C17" s="303"/>
      <c r="D17" s="303"/>
      <c r="E17" s="303"/>
      <c r="F17" s="303"/>
      <c r="G17" s="303"/>
    </row>
    <row r="18" spans="1:7" ht="90.75" customHeight="1" thickBot="1" x14ac:dyDescent="0.35">
      <c r="A18" s="303" t="str">
        <f ca="1">Translations!G13</f>
        <v>Cible du pays :
1) Se rapporte au plan stratégique national ou à toute autre cible du pays approuvée plus récemment
2) « # » correspond au nombre total de personnes devant être sous traitement antirétroviral
3) « % » correspond au nombre d'adultes et d'enfants censés être sous traitement antirétroviral dans l'ensemble des adultes et des enfants vivant avec le VIH</v>
      </c>
      <c r="B18" s="303"/>
      <c r="C18" s="303"/>
      <c r="D18" s="303"/>
      <c r="E18" s="303"/>
      <c r="F18" s="303"/>
      <c r="G18" s="303"/>
    </row>
    <row r="19" spans="1:7" s="52" customFormat="1" ht="141.75" customHeight="1" thickBot="1" x14ac:dyDescent="0.35">
      <c r="A19" s="306"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19" s="306"/>
      <c r="C19" s="306"/>
      <c r="D19" s="306"/>
      <c r="E19" s="306"/>
      <c r="F19" s="306"/>
      <c r="G19" s="306"/>
    </row>
    <row r="20" spans="1:7" ht="43.5" customHeight="1" thickBot="1" x14ac:dyDescent="0.35">
      <c r="A20" s="303" t="str">
        <f ca="1">Translations!G15</f>
        <v>Déficit programmatique :
Le déficit programmatique est calculé à partir des besoins totaux (rangée A).</v>
      </c>
      <c r="B20" s="303"/>
      <c r="C20" s="303"/>
      <c r="D20" s="303"/>
      <c r="E20" s="303"/>
      <c r="F20" s="303"/>
      <c r="G20" s="303"/>
    </row>
    <row r="21" spans="1:7" ht="99" customHeight="1" thickBot="1" x14ac:dyDescent="0.35">
      <c r="A21" s="303" t="str">
        <f ca="1">Translations!G16</f>
        <v>Observations/Hypothèses :
1) Indiquez la région cible en cas de couverture infranationale
2) Précisez qui sont les autres sources de financement</v>
      </c>
      <c r="B21" s="303"/>
      <c r="C21" s="303"/>
      <c r="D21" s="303"/>
      <c r="E21" s="303"/>
      <c r="F21" s="303"/>
      <c r="G21" s="303"/>
    </row>
    <row r="22" spans="1:7" ht="14.5" thickBot="1" x14ac:dyDescent="0.35">
      <c r="A22" s="310" t="str">
        <f ca="1">Translations!G17</f>
        <v>PTME - Prévention de la transmission verticale du VIH</v>
      </c>
      <c r="B22" s="310"/>
      <c r="C22" s="310"/>
      <c r="D22" s="310"/>
      <c r="E22" s="310"/>
      <c r="F22" s="310"/>
      <c r="G22" s="310"/>
    </row>
    <row r="23" spans="1:7" ht="42.75" customHeight="1" thickBot="1" x14ac:dyDescent="0.35">
      <c r="A23" s="303" t="str">
        <f ca="1">Translations!G18</f>
        <v>Indicateur de couverture : 
Pourcentage de femmes enceintes séropositives au VIH ayant reçu des antirétroviraux durant leur grossesse</v>
      </c>
      <c r="B23" s="303"/>
      <c r="C23" s="303"/>
      <c r="D23" s="303"/>
      <c r="E23" s="303"/>
      <c r="F23" s="303"/>
      <c r="G23" s="303"/>
    </row>
    <row r="24" spans="1:7" ht="34.5" customHeight="1" thickBot="1" x14ac:dyDescent="0.35">
      <c r="A24" s="303" t="str">
        <f ca="1">Translations!G19</f>
        <v>Estimation des populations dans le besoin/à risque :
Se rapporte au nombre estimé de femmes enceintes séropositives.</v>
      </c>
      <c r="B24" s="303"/>
      <c r="C24" s="303"/>
      <c r="D24" s="303"/>
      <c r="E24" s="303"/>
      <c r="F24" s="303"/>
      <c r="G24" s="303"/>
    </row>
    <row r="25" spans="1:7" ht="115.5" customHeight="1" thickBot="1" x14ac:dyDescent="0.35">
      <c r="A25" s="303" t="str">
        <f ca="1">Translations!G20</f>
        <v xml:space="preserve">Cible du pays :
1) Se rapporte au plan stratégique national (PSN) ou à toute autre cible du pays approuvée plus récemment.
2) « # » se rapporte au nombre de femmes enceintes séropositives censées recevoir des antirétroviraux afin de réduire le risque de transmission de la mère à l'enfant au cours de la grossesse et de l'accouchement.
3) « % » se rapporte au pourcentage de femmes enceintes séropositives recevant des antirétroviraux afin de réduire le risque de transmission de la mère à l'enfant dans la population estimée des femmes enceintes séropositives. </v>
      </c>
      <c r="B25" s="303"/>
      <c r="C25" s="303"/>
      <c r="D25" s="303"/>
      <c r="E25" s="303"/>
      <c r="F25" s="303"/>
      <c r="G25" s="303"/>
    </row>
    <row r="26" spans="1:7" s="52" customFormat="1" ht="140.25" customHeight="1" thickBot="1" x14ac:dyDescent="0.35">
      <c r="A26" s="306"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26" s="306"/>
      <c r="C26" s="306"/>
      <c r="D26" s="306"/>
      <c r="E26" s="306"/>
      <c r="F26" s="306"/>
      <c r="G26" s="306"/>
    </row>
    <row r="27" spans="1:7" ht="41.25" customHeight="1" thickBot="1" x14ac:dyDescent="0.35">
      <c r="A27" s="303" t="str">
        <f ca="1">Translations!G21</f>
        <v>Déficit programmatique :
Le déficit programmatique est calculé à partir des besoins totaux (rangée A).</v>
      </c>
      <c r="B27" s="303"/>
      <c r="C27" s="303"/>
      <c r="D27" s="303"/>
      <c r="E27" s="303"/>
      <c r="F27" s="303"/>
      <c r="G27" s="303"/>
    </row>
    <row r="28" spans="1:7" ht="51.75" customHeight="1" thickBot="1" x14ac:dyDescent="0.35">
      <c r="A28" s="303" t="str">
        <f ca="1">Translations!G22</f>
        <v>Observations/Hypothèses :
1) Indiquez la zone cible
2) Spécifiez les autres sources de financement.</v>
      </c>
      <c r="B28" s="303"/>
      <c r="C28" s="303"/>
      <c r="D28" s="303"/>
      <c r="E28" s="303"/>
      <c r="F28" s="303"/>
      <c r="G28" s="303"/>
    </row>
    <row r="29" spans="1:7" ht="15" customHeight="1" thickBot="1" x14ac:dyDescent="0.35">
      <c r="A29" s="310" t="str">
        <f ca="1">Translations!G23</f>
        <v>Tuberculose et VIH - Dépistage de la tuberculose parmi les patients atteints du VIH</v>
      </c>
      <c r="B29" s="310"/>
      <c r="C29" s="310"/>
      <c r="D29" s="310"/>
      <c r="E29" s="310"/>
      <c r="F29" s="310"/>
      <c r="G29" s="310"/>
    </row>
    <row r="30" spans="1:7" ht="61.5" customHeight="1" thickBot="1" x14ac:dyDescent="0.35">
      <c r="A30" s="303" t="str">
        <f ca="1">Translations!G24</f>
        <v xml:space="preserve">Indicateur de couverture :
Pourcentage de personnes vivant avec le VIH ayant nouvellement initié la TARV et chez qui les signes de la tuberculose ont été recherchés </v>
      </c>
      <c r="B30" s="303"/>
      <c r="C30" s="303"/>
      <c r="D30" s="303"/>
      <c r="E30" s="303"/>
      <c r="F30" s="303"/>
      <c r="G30" s="303"/>
    </row>
    <row r="31" spans="1:7" ht="53.25" customHeight="1" thickBot="1" x14ac:dyDescent="0.35">
      <c r="A31" s="303" t="str">
        <f ca="1">Translations!G25</f>
        <v xml:space="preserve">Estimation des populations dans le besoin/à risque :
Se rapporte à toutes les personnes vivant avec le VIH ayant nouvellement initié la TARV  </v>
      </c>
      <c r="B31" s="303"/>
      <c r="C31" s="303"/>
      <c r="D31" s="303"/>
      <c r="E31" s="303"/>
      <c r="F31" s="303"/>
      <c r="G31" s="303"/>
    </row>
    <row r="32" spans="1:7" ht="107.25" customHeight="1" thickBot="1" x14ac:dyDescent="0.35">
      <c r="A32" s="303" t="str">
        <f ca="1">Translations!G26</f>
        <v xml:space="preserve">Cible du pays :
1) Se rapporte au plan stratégique national ou à toute autre cible du pays approuvée plus récemment
2) « # » correspond à toutes les personnes vivant avec le VIH ayant nouvellement initié la TARV et chez qui les signes de la tuberculose ont été recherchés 
3) « % » correspond au pourcentage de personnes vivant avec le VIH ayant nouvellement initié la TARV  dont le statut TB a été évalué et enregistré, parmi toutes les personnes vivant avec le VIH ayant nouvellement initié la TARV  
</v>
      </c>
      <c r="B32" s="303"/>
      <c r="C32" s="303"/>
      <c r="D32" s="303"/>
      <c r="E32" s="303"/>
      <c r="F32" s="303"/>
      <c r="G32" s="303"/>
    </row>
    <row r="33" spans="1:7" s="52" customFormat="1" ht="143.25" customHeight="1" thickBot="1" x14ac:dyDescent="0.35">
      <c r="A33" s="306"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33" s="306"/>
      <c r="C33" s="306"/>
      <c r="D33" s="306"/>
      <c r="E33" s="306"/>
      <c r="F33" s="306"/>
      <c r="G33" s="306"/>
    </row>
    <row r="34" spans="1:7" ht="51" customHeight="1" thickBot="1" x14ac:dyDescent="0.35">
      <c r="A34" s="303" t="str">
        <f ca="1">Translations!G27</f>
        <v>Déficit programmatique :
Le déficit programmatique est calculé à partir des besoins totaux (rangée A).</v>
      </c>
      <c r="B34" s="303"/>
      <c r="C34" s="303"/>
      <c r="D34" s="303"/>
      <c r="E34" s="303"/>
      <c r="F34" s="303"/>
      <c r="G34" s="303"/>
    </row>
    <row r="35" spans="1:7" ht="51" customHeight="1" thickBot="1" x14ac:dyDescent="0.35">
      <c r="A35" s="303" t="str">
        <f ca="1">Translations!G28</f>
        <v>Observations/Hypothèses :
1) Indiquez la zone cible.
2) Précisez qui sont les autres sources de financement.</v>
      </c>
      <c r="B35" s="303"/>
      <c r="C35" s="303"/>
      <c r="D35" s="303"/>
      <c r="E35" s="303"/>
      <c r="F35" s="303"/>
      <c r="G35" s="303"/>
    </row>
    <row r="36" spans="1:7" ht="41.25" customHeight="1" thickBot="1" x14ac:dyDescent="0.35">
      <c r="A36" s="310" t="str">
        <f ca="1">Translations!G29</f>
        <v>Tuberculose et VIH - Patients atteints de tuberculose et dont le statut sérologique vis-à-vis du VIH est connu</v>
      </c>
      <c r="B36" s="310"/>
      <c r="C36" s="310"/>
      <c r="D36" s="310"/>
      <c r="E36" s="310"/>
      <c r="F36" s="310"/>
      <c r="G36" s="310"/>
    </row>
    <row r="37" spans="1:7" ht="48.75" customHeight="1" thickBot="1" x14ac:dyDescent="0.35">
      <c r="A37" s="303" t="str">
        <f ca="1">Translations!G30</f>
        <v>Indicateur de couverture :
Pourcentage de patients tuberculeux enregistrés, nouveaux cas et cas de récidive confondus, dont le statut sérologique vis-à-vis du VIH est documenté</v>
      </c>
      <c r="B37" s="303"/>
      <c r="C37" s="303"/>
      <c r="D37" s="303"/>
      <c r="E37" s="303"/>
      <c r="F37" s="303"/>
      <c r="G37" s="303"/>
    </row>
    <row r="38" spans="1:7" ht="33" customHeight="1" thickBot="1" x14ac:dyDescent="0.35">
      <c r="A38" s="303" t="str">
        <f ca="1">Translations!G31</f>
        <v>Estimation des populations dans le besoin/à risque :
Se rapporte au nombre total de patients tuberculeux (nouveaux cas et récidives) enregistrés</v>
      </c>
      <c r="B38" s="303"/>
      <c r="C38" s="303"/>
      <c r="D38" s="303"/>
      <c r="E38" s="303"/>
      <c r="F38" s="303"/>
      <c r="G38" s="303"/>
    </row>
    <row r="39" spans="1:7" ht="97.5" customHeight="1" thickBot="1" x14ac:dyDescent="0.35">
      <c r="A39" s="303" t="str">
        <f ca="1">Translations!G32</f>
        <v>Cible du pays :
1) Se rapporte au plan stratégique national ou à toute autre cible du pays approuvée plus récemment
2) « # » correspond au nombre de patients tuberculeux enregistrés, nouveaux cas et cas de récidive confondus, dont le statut sérologique vis-à-vis du VIH est documenté
3) « % » correspond à la part des patients tuberculeux enregistrés (nouveaux cas et cas de récidive confondus) et dont le statut sérologique vis-à-vis du VIH est documenté, dans le total des patients tuberculeux enregistrés (nouveaux cas et cas de récidive confondus)</v>
      </c>
      <c r="B39" s="303"/>
      <c r="C39" s="303"/>
      <c r="D39" s="303"/>
      <c r="E39" s="303"/>
      <c r="F39" s="303"/>
      <c r="G39" s="303"/>
    </row>
    <row r="40" spans="1:7" s="52" customFormat="1" ht="138.75" customHeight="1" thickBot="1" x14ac:dyDescent="0.35">
      <c r="A40" s="306"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40" s="306"/>
      <c r="C40" s="306"/>
      <c r="D40" s="306"/>
      <c r="E40" s="306"/>
      <c r="F40" s="306"/>
      <c r="G40" s="306"/>
    </row>
    <row r="41" spans="1:7" ht="37.5" customHeight="1" thickBot="1" x14ac:dyDescent="0.35">
      <c r="A41" s="303" t="str">
        <f ca="1">Translations!G33</f>
        <v>Déficit programmatique :
Le déficit programmatique est calculé à partir des besoins totaux (rangée A).</v>
      </c>
      <c r="B41" s="303"/>
      <c r="C41" s="303"/>
      <c r="D41" s="303"/>
      <c r="E41" s="303"/>
      <c r="F41" s="303"/>
      <c r="G41" s="303"/>
    </row>
    <row r="42" spans="1:7" ht="48.75" customHeight="1" thickBot="1" x14ac:dyDescent="0.35">
      <c r="A42" s="303" t="str">
        <f ca="1">Translations!G34</f>
        <v>Observations/Hypothèses :
1) Indiquez la zone cible
2) Précisez qui sont les autres sources de financement</v>
      </c>
      <c r="B42" s="303"/>
      <c r="C42" s="303"/>
      <c r="D42" s="303"/>
      <c r="E42" s="303"/>
      <c r="F42" s="303"/>
      <c r="G42" s="303"/>
    </row>
    <row r="43" spans="1:7" ht="41.25" customHeight="1" thickBot="1" x14ac:dyDescent="0.35">
      <c r="A43" s="310" t="str">
        <f ca="1">Translations!G35</f>
        <v>Tuberculose et VIH - Patients tuberculeux séropositifs sous traitement antirétroviral</v>
      </c>
      <c r="B43" s="310"/>
      <c r="C43" s="310"/>
      <c r="D43" s="310"/>
      <c r="E43" s="310"/>
      <c r="F43" s="310"/>
      <c r="G43" s="310"/>
    </row>
    <row r="44" spans="1:7" ht="48.75" customHeight="1" thickBot="1" x14ac:dyDescent="0.35">
      <c r="A44" s="303" t="str">
        <f ca="1">Translations!G36</f>
        <v>Indicateur de couverture :
Pourcentage de nouveaux patients  tuberculeux et de rechutes, séropositifs au VIH, sous traitement antirétroviral au cours du traitement de la tuberculose</v>
      </c>
      <c r="B44" s="303"/>
      <c r="C44" s="303"/>
      <c r="D44" s="303"/>
      <c r="E44" s="303"/>
      <c r="F44" s="303"/>
      <c r="G44" s="303"/>
    </row>
    <row r="45" spans="1:7" ht="49.5" customHeight="1" thickBot="1" x14ac:dyDescent="0.35">
      <c r="A45" s="303" t="str">
        <f ca="1">Translations!G37</f>
        <v>Estimation des populations dans le besoin/à risque :
Correspond au nombre total de patients tuberculeux (nouveaux cas et récidives) et séropositifs que l'on s'attend à enregistrer sur la période</v>
      </c>
      <c r="B45" s="303"/>
      <c r="C45" s="303"/>
      <c r="D45" s="303"/>
      <c r="E45" s="303"/>
      <c r="F45" s="303"/>
      <c r="G45" s="303"/>
    </row>
    <row r="46" spans="1:7" ht="82.5" customHeight="1" thickBot="1" x14ac:dyDescent="0.35">
      <c r="A46" s="303" t="str">
        <f ca="1">Translations!G38</f>
        <v>Cible du pays :
1) Se rapporte au plan stratégique national ou à toute cible du pays approuvée plus récemment
2) « # » correspond au nombre de patients tuberculeux (nouveaux cas et récidives) et séropositifs sous traitement antirétroviral
3) « % » correspond au pourcentage de patients tuberculeux (nouveaux cas et récidives) et séropositifs sous traitement antirétroviral dans la population totale des patients tuberculeux (nouveaux cas et cas de récidive) et séropositifs enregistrés</v>
      </c>
      <c r="B46" s="303"/>
      <c r="C46" s="303"/>
      <c r="D46" s="303"/>
      <c r="E46" s="303"/>
      <c r="F46" s="303"/>
      <c r="G46" s="303"/>
    </row>
    <row r="47" spans="1:7" s="52" customFormat="1" ht="142.5" customHeight="1" thickBot="1" x14ac:dyDescent="0.35">
      <c r="A47" s="306"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47" s="306"/>
      <c r="C47" s="306"/>
      <c r="D47" s="306"/>
      <c r="E47" s="306"/>
      <c r="F47" s="306"/>
      <c r="G47" s="306"/>
    </row>
    <row r="48" spans="1:7" ht="39.75" customHeight="1" thickBot="1" x14ac:dyDescent="0.35">
      <c r="A48" s="303" t="str">
        <f ca="1">Translations!G39</f>
        <v>Déficit programmatique :
Le déficit programmatique est calculé à partir des besoins totaux (rangée A).</v>
      </c>
      <c r="B48" s="303"/>
      <c r="C48" s="303"/>
      <c r="D48" s="303"/>
      <c r="E48" s="303"/>
      <c r="F48" s="303"/>
      <c r="G48" s="303"/>
    </row>
    <row r="49" spans="1:7" ht="46.5" customHeight="1" thickBot="1" x14ac:dyDescent="0.35">
      <c r="A49" s="303" t="str">
        <f ca="1">Translations!G40</f>
        <v>Observations/Hypothèses :
1) Indiquez la zone cible
2) Précisez qui sont les autres sources de financement</v>
      </c>
      <c r="B49" s="303"/>
      <c r="C49" s="303"/>
      <c r="D49" s="303"/>
      <c r="E49" s="303"/>
      <c r="F49" s="303"/>
      <c r="G49" s="303"/>
    </row>
    <row r="50" spans="1:7" ht="38.5" customHeight="1" thickBot="1" x14ac:dyDescent="0.35">
      <c r="A50" s="310" t="str">
        <f ca="1">Translations!G41</f>
        <v xml:space="preserve">TB/VIH - Initiation du traitement préventif de la tuberculose (TPT) pour les PVVIH </v>
      </c>
      <c r="B50" s="310"/>
      <c r="C50" s="310"/>
      <c r="D50" s="310"/>
      <c r="E50" s="310"/>
      <c r="F50" s="310"/>
      <c r="G50" s="310"/>
    </row>
    <row r="51" spans="1:7" ht="46.5" customHeight="1" thickBot="1" x14ac:dyDescent="0.35">
      <c r="A51" s="303" t="str">
        <f ca="1">Translations!G42</f>
        <v xml:space="preserve">Indicateur de couverture:
Pourcentage de PVVIH sous traitement antirétroviral qui ont commencé la thérapie préventive de la tuberculose parmi ceux éligibles durant la période de rapportage </v>
      </c>
      <c r="B51" s="303"/>
      <c r="C51" s="303"/>
      <c r="D51" s="303"/>
      <c r="E51" s="303"/>
      <c r="F51" s="303"/>
      <c r="G51" s="303"/>
    </row>
    <row r="52" spans="1:7" ht="122.5" customHeight="1" thickBot="1" x14ac:dyDescent="0.35">
      <c r="A52" s="303" t="str">
        <f ca="1">Translations!G43</f>
        <v>Population estimée dans le besoin / à risque:
Désigne le nombre estimé de personnes vivant avec le VIH et enrôlées dans le traitement antirétroviral qui sont éligibles pour un traitement préventif de la tuberculose pendant la période de rapportage.
Ceci exclut les PVVIH sous traitement antituberculeux ou qui sont en cours d'évaluation d’une tuberculose active. Dans la mesure du possible, cela devrait également exclure les PVVIH qui ont déjà terminé le TPT dans les délais recommandés par la politique nationale, ainsi que les PVVIH jugées cliniquement non éligibles en raison de comorbidités et de contre-indications, telles que l’hépatite active, l'alcoolisme chronique, l'utilisation d'autres médicaments comme les médicaments potentiellement hépatotoxiques (névirapine par exemple) et/ou la neuropathie</v>
      </c>
      <c r="B52" s="303"/>
      <c r="C52" s="303"/>
      <c r="D52" s="303"/>
      <c r="E52" s="303"/>
      <c r="F52" s="303"/>
      <c r="G52" s="303"/>
    </row>
    <row r="53" spans="1:7" ht="89.15" customHeight="1" thickBot="1" x14ac:dyDescent="0.35">
      <c r="A53" s="303" t="str">
        <f ca="1">Translations!G44</f>
        <v xml:space="preserve">Country target:
1) refers to NSP or any other latest agreed country target
2) # se rapporte au nombre de PVVIH sous traitement antirétroviral qui ont commencé un traitement pour une infection tuberculeuse latente 
3) % refers to the percentage of PVVIH sous traitement antirétroviral qui ont commencé un traitement pour une infection tuberculeuse latente parmi ceux qui sont éligibles pour le TPT (voir ci-dessus). </v>
      </c>
      <c r="B53" s="303"/>
      <c r="C53" s="303"/>
      <c r="D53" s="303"/>
      <c r="E53" s="303"/>
      <c r="F53" s="303"/>
      <c r="G53" s="303"/>
    </row>
    <row r="54" spans="1:7" ht="137.5" customHeight="1" thickBot="1" x14ac:dyDescent="0.35">
      <c r="A54" s="306"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54" s="306"/>
      <c r="C54" s="306"/>
      <c r="D54" s="306"/>
      <c r="E54" s="306"/>
      <c r="F54" s="306"/>
      <c r="G54" s="306"/>
    </row>
    <row r="55" spans="1:7" ht="46.5" customHeight="1" thickBot="1" x14ac:dyDescent="0.35">
      <c r="A55" s="303" t="str">
        <f ca="1">Translations!G45</f>
        <v>Déficit programmatique :
Le déficit programmatique est calculé à partir des besoins totaux (rangée A).</v>
      </c>
      <c r="B55" s="303"/>
      <c r="C55" s="303"/>
      <c r="D55" s="303"/>
      <c r="E55" s="303"/>
      <c r="F55" s="303"/>
      <c r="G55" s="303"/>
    </row>
    <row r="56" spans="1:7" ht="54.65" customHeight="1" thickBot="1" x14ac:dyDescent="0.35">
      <c r="A56" s="303" t="str">
        <f ca="1">Translations!G46</f>
        <v>Observations/Hypothèses :
1) Indiquez la zone cible
2) Précisez qui sont les autres sources de financement</v>
      </c>
      <c r="B56" s="303"/>
      <c r="C56" s="303"/>
      <c r="D56" s="303"/>
      <c r="E56" s="303"/>
      <c r="F56" s="303"/>
      <c r="G56" s="303"/>
    </row>
    <row r="57" spans="1:7" ht="114" customHeight="1" thickBot="1" x14ac:dyDescent="0.35">
      <c r="A57" s="304" t="str">
        <f ca="1">Translations!G47</f>
        <v xml:space="preserve">Programmes de prévention pour les populations clés - ensemble de services définis
Remplissez un tableau distinct pour chacune des populations clés concernées, par exemple : les professionnel(le)s du sexe et leurs clients ; les hommes qui ont des rapports sexuels avec d'autres hommes ; les personnes transgenres ; personnes qui s'injectent des drogues et leurs partenaires  ; les personnes incarcérées ou se trouvant dans d'autres lieux fermés ; les adolescentes et les jeunes femmes dans des contextes à forte prévalence;  les hommes dans des contextes à forte prévalence; les autres populations vulnérables, en relation avec la demande de financement. Après avoir sélectionné ce module, sélectionnez la population clé souhaitée dans la liste déroulante prévue à côté de la cellule « Population cible ». Si vous sélectionnez « autres populations vulnérables », veuillez préciser de quelle population il s'agit dans la section des observations. </v>
      </c>
      <c r="B57" s="304"/>
      <c r="C57" s="304"/>
      <c r="D57" s="304"/>
      <c r="E57" s="304"/>
      <c r="F57" s="304"/>
      <c r="G57" s="304"/>
    </row>
    <row r="58" spans="1:7" ht="36.75" customHeight="1" thickBot="1" x14ac:dyDescent="0.35">
      <c r="A58" s="302" t="str">
        <f ca="1">Translations!G48</f>
        <v>Indicateur de couverture : 
Pourcentage de personnes appartenant aux populations clés atteintes par des programmes de prévention - paquet de services définis</v>
      </c>
      <c r="B58" s="302"/>
      <c r="C58" s="302"/>
      <c r="D58" s="302"/>
      <c r="E58" s="302"/>
      <c r="F58" s="302"/>
      <c r="G58" s="302"/>
    </row>
    <row r="59" spans="1:7" ht="40.5" customHeight="1" thickBot="1" x14ac:dyDescent="0.35">
      <c r="A59" s="303" t="str">
        <f ca="1">Translations!G49</f>
        <v>Estimation des populations dans le besoin/à risque :
Correspond à l'effectif estimé des populations clé spécifiée</v>
      </c>
      <c r="B59" s="303"/>
      <c r="C59" s="303"/>
      <c r="D59" s="303"/>
      <c r="E59" s="303"/>
      <c r="F59" s="303"/>
      <c r="G59" s="303"/>
    </row>
    <row r="60" spans="1:7" ht="84.75" customHeight="1" thickBot="1" x14ac:dyDescent="0.35">
      <c r="A60" s="303" t="str">
        <f ca="1">Translations!G50</f>
        <v xml:space="preserve">Cible du pays :
1) Se rapporte au plan stratégique national ou à toute autre cible du pays approuvée plus récemment
2) « # » correspond au nombre de personnes issues des populations clé spécifiée et censées bénéficier d'un ensemble de services de prévention définis 
3) « % » correspond au pourcentage de personnes bénéficiant d'un ensemble de services de prévention définis dans le total estimé des personnes qui constituent la population clé spécifiée </v>
      </c>
      <c r="B60" s="303"/>
      <c r="C60" s="303"/>
      <c r="D60" s="303"/>
      <c r="E60" s="303"/>
      <c r="F60" s="303"/>
      <c r="G60" s="303"/>
    </row>
    <row r="61" spans="1:7" s="52" customFormat="1" ht="139.5" customHeight="1" thickBot="1" x14ac:dyDescent="0.35">
      <c r="A61" s="306"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61" s="306"/>
      <c r="C61" s="306"/>
      <c r="D61" s="306"/>
      <c r="E61" s="306"/>
      <c r="F61" s="306"/>
      <c r="G61" s="306"/>
    </row>
    <row r="62" spans="1:7" ht="38.25" customHeight="1" thickBot="1" x14ac:dyDescent="0.35">
      <c r="A62" s="303" t="str">
        <f ca="1">Translations!G51</f>
        <v>Déficit programmatique :
Le déficit programmatique est calculé à partir des besoins totaux (rangée A).</v>
      </c>
      <c r="B62" s="303"/>
      <c r="C62" s="303"/>
      <c r="D62" s="303"/>
      <c r="E62" s="303"/>
      <c r="F62" s="303"/>
      <c r="G62" s="303"/>
    </row>
    <row r="63" spans="1:7" ht="96.75" customHeight="1" thickBot="1" x14ac:dyDescent="0.35">
      <c r="A63" s="303" t="str">
        <f ca="1">Translations!G52</f>
        <v xml:space="preserve">Observations/Hypothèses :
1) Indiquez la zone cible
2) Précisez qui sont les autres sources de financement
3) Spécifiez les interventions incluses dans l'ensemble de services. L'ensemble de services doit faire référence à un ensemble d'interventions qui doivent être réalisées auprès des personnes et en fonction desquelles ces personnes sont ou non inclues dans les résultats. Les personnes doivent donc être comptabilisées uniquement lorsqu'elles ont bénéficié de l'intégralité des interventions de l'ensemble défini de services. </v>
      </c>
      <c r="B63" s="303"/>
      <c r="C63" s="303"/>
      <c r="D63" s="303"/>
      <c r="E63" s="303"/>
      <c r="F63" s="303"/>
      <c r="G63" s="303"/>
    </row>
    <row r="64" spans="1:7" ht="88.5" customHeight="1" thickBot="1" x14ac:dyDescent="0.35">
      <c r="A64" s="304" t="str">
        <f ca="1">Translations!G53</f>
        <v>Services de dépistage différenciés du VIH 
Remplissez un tableau distinct pour chacune des populations clés concernées, par exemple : les professionnel(le)s du sexe et leurs clients ; les hommes qui ont des rapports sexuels avec d'autres hommes ; les personnes transgenres ; personnes qui s'injectent des drogues et leurs partenaires  ; les personnes incarcérées ou se trouvant dans d'autres lieux fermés ; les adolescentes et les jeunes femmes dans des contextes à forte prévalence;  les hommes dans des contextes à forte prévalence; les autres populations vulnérables, en relation avec la demande de financement. Sélectionnez la population clé concernée dans la liste déroulante prévue à côté de la cellule « Population cible ».  Si vous sélectionnez « autres populations vulnérables », veuillez préciser ci-dessous de quelle population il s'agit dans la section des observations.</v>
      </c>
      <c r="B64" s="304"/>
      <c r="C64" s="304"/>
      <c r="D64" s="304"/>
      <c r="E64" s="304"/>
      <c r="F64" s="304"/>
      <c r="G64" s="304"/>
    </row>
    <row r="65" spans="1:7" ht="44.25" customHeight="1" thickBot="1" x14ac:dyDescent="0.35">
      <c r="A65" s="303" t="str">
        <f ca="1">Translations!G54</f>
        <v xml:space="preserve">Indicateur de couverture : Pourcentage de personnes appartenant aux populations clés, qui ont effectué un test de dépistage du VIH pendant la période de rapportage de l'information et qui en connaissent le résultat </v>
      </c>
      <c r="B65" s="303"/>
      <c r="C65" s="303"/>
      <c r="D65" s="303"/>
      <c r="E65" s="303"/>
      <c r="F65" s="303"/>
      <c r="G65" s="303"/>
    </row>
    <row r="66" spans="1:7" ht="36.75" customHeight="1" thickBot="1" x14ac:dyDescent="0.35">
      <c r="A66" s="303" t="str">
        <f ca="1">Translations!G55</f>
        <v>Estimation des populations dans le besoin/à risque :
Correspond à l'effectif estimé des populations clé spécifiée</v>
      </c>
      <c r="B66" s="303"/>
      <c r="C66" s="303"/>
      <c r="D66" s="303"/>
      <c r="E66" s="303"/>
      <c r="F66" s="303"/>
      <c r="G66" s="303"/>
    </row>
    <row r="67" spans="1:7" ht="71.25" customHeight="1" thickBot="1" x14ac:dyDescent="0.35">
      <c r="A67" s="303" t="str">
        <f ca="1">Translations!G56</f>
        <v>Cible du pays :
1) Se rapporte au plan stratégique national ou à toute autre cible du pays approuvée plus récemment.
2) « # » correspond au nombre de personnes appartenant à la population clé spécifiée, censées être dépistées pour le VIH durant l'année indiquée
3) « % » correspond au pourcentage de personnes devant être dépistées dans le total estimé des personnes qui constituent la population clé spécifiée</v>
      </c>
      <c r="B67" s="303"/>
      <c r="C67" s="303"/>
      <c r="D67" s="303"/>
      <c r="E67" s="303"/>
      <c r="F67" s="303"/>
      <c r="G67" s="303"/>
    </row>
    <row r="68" spans="1:7" s="52" customFormat="1" ht="139.5" customHeight="1" thickBot="1" x14ac:dyDescent="0.35">
      <c r="A68" s="306"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68" s="306"/>
      <c r="C68" s="306"/>
      <c r="D68" s="306"/>
      <c r="E68" s="306"/>
      <c r="F68" s="306"/>
      <c r="G68" s="306"/>
    </row>
    <row r="69" spans="1:7" ht="36.75" customHeight="1" thickBot="1" x14ac:dyDescent="0.35">
      <c r="A69" s="303" t="str">
        <f ca="1">Translations!G57</f>
        <v>Déficit programmatique :
Le déficit programmatique est calculé à partir des besoins totaux (rangée A).</v>
      </c>
      <c r="B69" s="303"/>
      <c r="C69" s="303"/>
      <c r="D69" s="303"/>
      <c r="E69" s="303"/>
      <c r="F69" s="303"/>
      <c r="G69" s="303"/>
    </row>
    <row r="70" spans="1:7" ht="56.25" customHeight="1" thickBot="1" x14ac:dyDescent="0.35">
      <c r="A70" s="303" t="str">
        <f ca="1">Translations!G58</f>
        <v>Observations/Hypothèses :
1) Indiquez la zone cible
2) Précisez qui sont les autres sources de financement</v>
      </c>
      <c r="B70" s="303"/>
      <c r="C70" s="303"/>
      <c r="D70" s="303"/>
      <c r="E70" s="303"/>
      <c r="F70" s="303"/>
      <c r="G70" s="303"/>
    </row>
    <row r="71" spans="1:7" ht="46.5" customHeight="1" thickBot="1" x14ac:dyDescent="0.35">
      <c r="A71" s="311" t="str">
        <f ca="1">Translations!G70</f>
        <v>Programmes de prévention destinés aux personnes qui s'injectent des drogues et à leurs partenaires - Traitements de substitution aux opiacés et autres traitements de la dépendance pour les usagers de drogues injectables</v>
      </c>
      <c r="B71" s="311"/>
      <c r="C71" s="311"/>
      <c r="D71" s="311"/>
      <c r="E71" s="311"/>
      <c r="F71" s="311"/>
      <c r="G71" s="311"/>
    </row>
    <row r="72" spans="1:7" ht="30" customHeight="1" thickBot="1" x14ac:dyDescent="0.35">
      <c r="A72" s="305" t="str">
        <f ca="1">Translations!G71</f>
        <v>Indicateur de couverture : Pourcentage de personnes qui s'injectent des drogues suivant un traitement de substitution aux opiacés.</v>
      </c>
      <c r="B72" s="305"/>
      <c r="C72" s="305"/>
      <c r="D72" s="305"/>
      <c r="E72" s="305"/>
      <c r="F72" s="305"/>
      <c r="G72" s="305"/>
    </row>
    <row r="73" spans="1:7" ht="35.25" customHeight="1" thickBot="1" x14ac:dyDescent="0.35">
      <c r="A73" s="303" t="str">
        <f ca="1">Translations!G72</f>
        <v xml:space="preserve">Estimation des populations dans le besoin/à risque :
Se rapporte au nombre estimé de personnes qui s'injectent des drogues </v>
      </c>
      <c r="B73" s="303"/>
      <c r="C73" s="303"/>
      <c r="D73" s="303"/>
      <c r="E73" s="303"/>
      <c r="F73" s="303"/>
      <c r="G73" s="303"/>
    </row>
    <row r="74" spans="1:7" ht="93" customHeight="1" thickBot="1" x14ac:dyDescent="0.35">
      <c r="A74" s="303" t="str">
        <f ca="1">Translations!G73</f>
        <v>Cible du pays :
1) Se rapporte au plan stratégique national ou à toute autre cible du pays approuvée plus récemment
2) « # » correspond au nombre de personnes qui s'injectent des drogues censés recevoir un traitement substitutif aux opiacés
3) « % » correspond au pourcentage de personnes qui s'injectent des drogues recevant un traitement de substitution aux opiacés dans la population estimée des personnes qui s'injectent des drogues</v>
      </c>
      <c r="B74" s="303"/>
      <c r="C74" s="303"/>
      <c r="D74" s="303"/>
      <c r="E74" s="303"/>
      <c r="F74" s="303"/>
      <c r="G74" s="303"/>
    </row>
    <row r="75" spans="1:7" s="52" customFormat="1" ht="135.75" customHeight="1" thickBot="1" x14ac:dyDescent="0.35">
      <c r="A75" s="306"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75" s="306"/>
      <c r="C75" s="306"/>
      <c r="D75" s="306"/>
      <c r="E75" s="306"/>
      <c r="F75" s="306"/>
      <c r="G75" s="306"/>
    </row>
    <row r="76" spans="1:7" ht="36.75" customHeight="1" thickBot="1" x14ac:dyDescent="0.35">
      <c r="A76" s="303" t="str">
        <f ca="1">Translations!G74</f>
        <v>Déficit programmatique :
Le déficit programmatique est calculé à partir des besoins totaux (rangée A).</v>
      </c>
      <c r="B76" s="303"/>
      <c r="C76" s="303"/>
      <c r="D76" s="303"/>
      <c r="E76" s="303"/>
      <c r="F76" s="303"/>
      <c r="G76" s="303"/>
    </row>
    <row r="77" spans="1:7" ht="52.5" customHeight="1" thickBot="1" x14ac:dyDescent="0.35">
      <c r="A77" s="303" t="str">
        <f ca="1">Translations!G75</f>
        <v>Observations/Hypothèses :
1) Indiquez la zone cible
2) Précisez qui sont les autres sources de financement</v>
      </c>
      <c r="B77" s="303"/>
      <c r="C77" s="303"/>
      <c r="D77" s="303"/>
      <c r="E77" s="303"/>
      <c r="F77" s="303"/>
      <c r="G77" s="303"/>
    </row>
    <row r="78" spans="1:7" ht="16" thickBot="1" x14ac:dyDescent="0.35">
      <c r="A78" s="300" t="str">
        <f ca="1">Translations!G76</f>
        <v>Onglet "PrEP gap table"</v>
      </c>
      <c r="B78" s="300"/>
      <c r="C78" s="300"/>
      <c r="D78" s="300"/>
      <c r="E78" s="300"/>
      <c r="F78" s="300"/>
      <c r="G78" s="300"/>
    </row>
    <row r="79" spans="1:7" ht="105" customHeight="1" thickBot="1" x14ac:dyDescent="0.35">
      <c r="A79" s="304" t="str">
        <f ca="1">Translations!G77</f>
        <v xml:space="preserve">Programmes de prévention pour les populations clés - PrEP
Remplissez un tableau distinct pour chacune des populations clés concernées, par exemple : les professionnel(le)s du sexe et leurs clients ; les hommes qui ont des rapports sexuels avec d'autres hommes ; les personnes transgenres ; les personnes incarcérées ou se trouvant dans d'autres lieux fermés;  les adolescentes et les jeunes femmes dans des contextes à forte prévalence;  les hommes dans des contextes à forte prévalence; les autres populations vulnérables, en relation avec la demande de financement. Sélectionnez la population clé concernée dans la liste déroulante prévue à côté de la cellule « Population cible ».  Si vous sélectionnez « autres populations vulnérables », veuillez préciser ci-dessous de quelle population il s'agit dans la section des observations. </v>
      </c>
      <c r="B79" s="304"/>
      <c r="C79" s="304"/>
      <c r="D79" s="304"/>
      <c r="E79" s="304"/>
      <c r="F79" s="304"/>
      <c r="G79" s="304"/>
    </row>
    <row r="80" spans="1:7" ht="48" customHeight="1" thickBot="1" x14ac:dyDescent="0.35">
      <c r="A80" s="303" t="str">
        <f ca="1">Translations!G78</f>
        <v xml:space="preserve">Indicateur de couverture : Pourcentage de populations clés éligibles qui ont initié une PrEP antiretrovirale orale au cours des 12 derniers mois </v>
      </c>
      <c r="B80" s="303"/>
      <c r="C80" s="303"/>
      <c r="D80" s="303"/>
      <c r="E80" s="303"/>
      <c r="F80" s="303"/>
      <c r="G80" s="303"/>
    </row>
    <row r="81" spans="1:7" ht="66.75" customHeight="1" thickBot="1" x14ac:dyDescent="0.35">
      <c r="A81" s="303" t="str">
        <f ca="1">Translations!G79</f>
        <v>Estimation des populations dans le besoin/à risque :
Correspond à l'effectif estimé des populations clé spécifiée pendant l'année indiquée 
Indiquez les source de données/les références/les hypothèses utilisées pour estimer la taille des populations dans le besoin dans la cellule des observations.</v>
      </c>
      <c r="B81" s="303"/>
      <c r="C81" s="303"/>
      <c r="D81" s="303"/>
      <c r="E81" s="303"/>
      <c r="F81" s="303"/>
      <c r="G81" s="303"/>
    </row>
    <row r="82" spans="1:7" ht="93" customHeight="1" thickBot="1" x14ac:dyDescent="0.35">
      <c r="A82" s="303" t="str">
        <f ca="1">Translations!G80</f>
        <v>Cible du pays :
1) Se rapporte au plan stratégique national ou à toute autre cible du pays approuvée plus récemment.
2) « # » correspond au nombre de personnes appartenant à la population clé spécifiée, censées recevoir une PrEP durant l'année indiquée
3) « % » correspond au pourcentage de personnes devant recevoir une PrEP dans l'effectif total estimé des populations clé spécifiée durant l'année indiquée</v>
      </c>
      <c r="B82" s="303"/>
      <c r="C82" s="303"/>
      <c r="D82" s="303"/>
      <c r="E82" s="303"/>
      <c r="F82" s="303"/>
      <c r="G82" s="303"/>
    </row>
    <row r="83" spans="1:7" s="52" customFormat="1" ht="140.25" customHeight="1" thickBot="1" x14ac:dyDescent="0.35">
      <c r="A83" s="308" t="str">
        <f ca="1">Translations!G14</f>
        <v>Besoins du pays déjà couverts :
Les besoins du pays déjà couverts sont subdivisés entre les besoins devant être couverts par des ressources nationales (rangée C1) et par des ressources extérieures (rangée C2). Les investissements du secteur privé national doivent figurer dans les sources nationales.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rangées C1 et C2 remplies, le total des besoins du pays déjà couverts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83" s="308"/>
      <c r="C83" s="308"/>
      <c r="D83" s="308"/>
      <c r="E83" s="308"/>
      <c r="F83" s="308"/>
      <c r="G83" s="308"/>
    </row>
    <row r="84" spans="1:7" ht="36.75" customHeight="1" thickBot="1" x14ac:dyDescent="0.35">
      <c r="A84" s="303" t="str">
        <f ca="1">Translations!G81</f>
        <v>Déficit programmatique :
Le déficit programmatique pour les préservatifs masculins et féminins est calculé automatiquement à partir de la cible du pays (B1 et B2)</v>
      </c>
      <c r="B84" s="303"/>
      <c r="C84" s="303"/>
      <c r="D84" s="303"/>
      <c r="E84" s="303"/>
      <c r="F84" s="303"/>
      <c r="G84" s="303"/>
    </row>
    <row r="85" spans="1:7" ht="56.25" customHeight="1" thickBot="1" x14ac:dyDescent="0.35">
      <c r="A85" s="303" t="str">
        <f ca="1">Translations!G58</f>
        <v>Observations/Hypothèses :
1) Indiquez la zone cible
2) Précisez qui sont les autres sources de financement</v>
      </c>
      <c r="B85" s="303"/>
      <c r="C85" s="303"/>
      <c r="D85" s="303"/>
      <c r="E85" s="303"/>
      <c r="F85" s="303"/>
      <c r="G85" s="303"/>
    </row>
    <row r="86" spans="1:7" ht="19.5" customHeight="1" thickBot="1" x14ac:dyDescent="0.35">
      <c r="A86" s="299" t="str">
        <f ca="1">Translations!G82</f>
        <v>Onglet "Condom gap tables"</v>
      </c>
      <c r="B86" s="299"/>
      <c r="C86" s="299"/>
      <c r="D86" s="299"/>
      <c r="E86" s="299"/>
      <c r="F86" s="299"/>
      <c r="G86" s="299"/>
    </row>
    <row r="87" spans="1:7" ht="81" customHeight="1" thickBot="1" x14ac:dyDescent="0.35">
      <c r="A87" s="309" t="str">
        <f ca="1">Translations!G83</f>
        <v>Programmes de prévention pour les populations non-spécifiées – programmation des préservatifs
Complétez un tableau couvrant toutes les populations ciblées par la promotion et la distribution de préservatifs.
Utilisation de l’outil d’analyse des besoins en préservatifs suivant est recommandée afin de compléter la Condom Gap Table :   UNAIDS Condom needs estimation and resource requirements tool (C-NET).
Veuillez attacher l’outil rempli en tant qu’annexe à la soumission de la note conceptuelle.</v>
      </c>
      <c r="B87" s="309"/>
      <c r="C87" s="309"/>
      <c r="D87" s="309"/>
      <c r="E87" s="309"/>
      <c r="F87" s="309"/>
      <c r="G87" s="309"/>
    </row>
    <row r="88" spans="1:7" ht="21.65" customHeight="1" thickBot="1" x14ac:dyDescent="0.35">
      <c r="A88" s="307" t="str">
        <f ca="1">Translations!G84</f>
        <v>https://hivpreventioncoalition.unaids.org/resource/condom-needs-and-resource-requirement-estimation-tool/</v>
      </c>
      <c r="B88" s="307"/>
      <c r="C88" s="307"/>
      <c r="D88" s="307"/>
      <c r="E88" s="307"/>
      <c r="F88" s="307"/>
      <c r="G88" s="307"/>
    </row>
    <row r="89" spans="1:7" ht="21.75" customHeight="1" thickBot="1" x14ac:dyDescent="0.35">
      <c r="A89" s="305" t="str">
        <f ca="1">Translations!G85</f>
        <v xml:space="preserve">Indicateur de couverture : Nombre de préservatifs distribués (masculins et féminins) </v>
      </c>
      <c r="B89" s="305"/>
      <c r="C89" s="305"/>
      <c r="D89" s="305"/>
      <c r="E89" s="305"/>
      <c r="F89" s="305"/>
      <c r="G89" s="305"/>
    </row>
    <row r="90" spans="1:7" ht="68.25" customHeight="1" thickBot="1" x14ac:dyDescent="0.35">
      <c r="A90" s="302" t="str">
        <f ca="1">Translations!G86</f>
        <v xml:space="preserve">Population estimée dans le besoin (A): Correspond à l'effectif estimé de personnes dans la population générale ciblée par la promotion et la distribution de préservatifs.
Veuillez utiliser les totaux des populations prioritaires calculés dans l'onglet "Exigences relatives aux préservatifs" du C-NET de l'ONUSIDA.
</v>
      </c>
      <c r="B90" s="302"/>
      <c r="C90" s="302"/>
      <c r="D90" s="302"/>
      <c r="E90" s="302"/>
      <c r="F90" s="302"/>
      <c r="G90" s="302"/>
    </row>
    <row r="91" spans="1:7" ht="96.75" customHeight="1" thickBot="1" x14ac:dyDescent="0.35">
      <c r="A91" s="302" t="str">
        <f ca="1">Translations!G87</f>
        <v xml:space="preserve">Nombre total de préservatifs nécessaires (A1 - A2): 
Correspond au nombre estimé de préservatifs nécessaires (masculins et féminins) pour atteindre l'objectif de couverture de 90%. Il est recommandé d'utiliser l'outil de gestion des besoins en ressources de l'ONUSIDA pour l’estimation des besoins en préservatifs (lien fourni ci-dessus)
</v>
      </c>
      <c r="B91" s="302"/>
      <c r="C91" s="302"/>
      <c r="D91" s="302"/>
      <c r="E91" s="302"/>
      <c r="F91" s="302"/>
      <c r="G91" s="302"/>
    </row>
    <row r="92" spans="1:7" ht="71.25" customHeight="1" thickBot="1" x14ac:dyDescent="0.35">
      <c r="A92" s="302" t="str">
        <f ca="1">Translations!G88</f>
        <v>Nombre total de préservatifs nécessaires (B1 - B2): 
1) Se rapporte au plan stratégique national ou à toute autre cible du pays approuvée plus récemment
2) # correspond au nombre de préservatifs masculins et féminins censés être distribués dans le cadre du programme sur la base de la couverture attendue de toutes les populations prioritaires</v>
      </c>
      <c r="B92" s="302"/>
      <c r="C92" s="302"/>
      <c r="D92" s="302"/>
      <c r="E92" s="302"/>
      <c r="F92" s="302"/>
      <c r="G92" s="302"/>
    </row>
    <row r="93" spans="1:7" s="52" customFormat="1" ht="171" customHeight="1" thickBot="1" x14ac:dyDescent="0.35">
      <c r="A93" s="308" t="str">
        <f ca="1">Translations!G89</f>
        <v xml:space="preserve">Cible nationale déjà couverte :
La cible du pays déjà couverte est ventilée d'abord par type de ressource de financement, puis par type de préservatif.
Type de ressource : La cible du pays déjà couverte est ventilée selon l'origine des ressources, ressources nationales (rangée C1) et ressources extérieures (rangée C2). Les investissements du secteur privé national doivent figurer dans les sources nationales. Veuillez spécifier sous 'Commentaires / Hypothèses' chaque fois que des ressources du secteur privé sont disponibles. Dans les cas où une partie de la cible est couverte pendant l'année par une subvention en cours du Fonds mondial (se terminant avant le début de la nouvelle période de mise en œuvre), le montant correspondant peut être inclus dans la catégorie des ressources extérieures. Le total des deux est calculé automatiquement dans la rangée C3. 
Type de préservatif : La cible du pays déjà couverte est subdivisée entre les préservatifs masculins (C4) et les préservatifs féminins (C5). Le total des deux est calculé automatiquement dans la rangée C6. Veuillez noter que la somme de C3 et C6 devrait être la même. Si vous ne disposez pas des données nécessaires pour remplir les cellules C1 et C2, remplissez uniquement les cellules C4 et C5.
</v>
      </c>
      <c r="B93" s="308"/>
      <c r="C93" s="308"/>
      <c r="D93" s="308"/>
      <c r="E93" s="308"/>
      <c r="F93" s="308"/>
      <c r="G93" s="308"/>
    </row>
    <row r="94" spans="1:7" ht="33" customHeight="1" thickBot="1" x14ac:dyDescent="0.35">
      <c r="A94" s="302" t="str">
        <f ca="1">Translations!G81</f>
        <v>Déficit programmatique :
Le déficit programmatique pour les préservatifs masculins et féminins est calculé automatiquement à partir de la cible du pays (B1 et B2)</v>
      </c>
      <c r="B94" s="302"/>
      <c r="C94" s="302"/>
      <c r="D94" s="302"/>
      <c r="E94" s="302"/>
      <c r="F94" s="302"/>
      <c r="G94" s="302"/>
    </row>
    <row r="95" spans="1:7" ht="101.25" customHeight="1" thickBot="1" x14ac:dyDescent="0.35">
      <c r="A95" s="302" t="str">
        <f ca="1">Translations!G90</f>
        <v>Observations/Hypothèses :
1) Précisez la méthodologie utilisée pour les prévisions dans la cellule des observations (rangées A1 et A2)
2) Précisez si l'estimation comprend les préservatifs nécessaires à la planification familiale, en plus du nombre nécessaire pour les programmes de prévention du VIH (rangées A1 et A2)
3) Précisez quelle est la couverture attendue des différentes populations prioritaires ciblées pour la promotion et la distribution de préservatifs - rangées B1-B2 et E1-E2
4) Précisez quelles sont les autres sources de financement</v>
      </c>
      <c r="B95" s="302"/>
      <c r="C95" s="302"/>
      <c r="D95" s="302"/>
      <c r="E95" s="302"/>
      <c r="F95" s="302"/>
      <c r="G95" s="302"/>
    </row>
    <row r="96" spans="1:7" ht="21.75" customHeight="1" thickBot="1" x14ac:dyDescent="0.35">
      <c r="A96" s="299" t="str">
        <f ca="1">Translations!G97</f>
        <v>Onglet "Male circumcision gap table"</v>
      </c>
      <c r="B96" s="299"/>
      <c r="C96" s="299"/>
      <c r="D96" s="299"/>
      <c r="E96" s="299"/>
      <c r="F96" s="299"/>
      <c r="G96" s="299"/>
    </row>
    <row r="97" spans="1:7" s="113" customFormat="1" ht="68.25" customHeight="1" thickBot="1" x14ac:dyDescent="0.35">
      <c r="A97" s="304" t="str">
        <f ca="1">Translations!G98</f>
        <v>Programmes de prévention pour la population générale - circoncision masculine : 
Obligatoires dans les 16 pays prioritaires caractérisés par une forte prévalence du VIH, de faibles niveaux de circoncision masculine et une épidémie généralisée de VIH dans la population hétérosexuelle, à savoir : le Botswana, l'Éthiopie, la République centrafricaine, le Kenya, le Lesotho, le Malawi, le Mozambique, la Namibie, le Rwanda, l'Afrique du Sud, le Soudan du Sud, le Swaziland, l'Ouganda, République-Unie de Tanzanie, la Zambie et le Zimbabwe.</v>
      </c>
      <c r="B97" s="304"/>
      <c r="C97" s="304"/>
      <c r="D97" s="304"/>
      <c r="E97" s="304"/>
      <c r="F97" s="304"/>
      <c r="G97" s="304"/>
    </row>
    <row r="98" spans="1:7" s="113" customFormat="1" ht="30.75" customHeight="1" thickBot="1" x14ac:dyDescent="0.35">
      <c r="A98" s="305" t="str">
        <f ca="1">Translations!G99</f>
        <v>Indicateur de couverture : nombre de circoncisions médicales pratiquées selon les normes nationales</v>
      </c>
      <c r="B98" s="305"/>
      <c r="C98" s="305"/>
      <c r="D98" s="305"/>
      <c r="E98" s="305"/>
      <c r="F98" s="305"/>
      <c r="G98" s="305"/>
    </row>
    <row r="99" spans="1:7" s="113" customFormat="1" ht="57" customHeight="1" thickBot="1" x14ac:dyDescent="0.35">
      <c r="A99" s="303" t="str">
        <f ca="1">Translations!G100</f>
        <v>Estimation des populations dans le besoin/à risque : 
Correspond au nombre estimé d'hommes qui répondent aux critères de la circoncision</v>
      </c>
      <c r="B99" s="303"/>
      <c r="C99" s="303"/>
      <c r="D99" s="303"/>
      <c r="E99" s="303"/>
      <c r="F99" s="303"/>
      <c r="G99" s="303"/>
    </row>
    <row r="100" spans="1:7" s="113" customFormat="1" ht="58.5" customHeight="1" thickBot="1" x14ac:dyDescent="0.35">
      <c r="A100" s="302" t="str">
        <f ca="1">Translations!G101</f>
        <v xml:space="preserve">Cible du pays : 
1) Se rapporte au plan stratégique national ou à toute autre cible du pays approuvée plus récemment.
2) « # » correspond au nombre d'hommes ciblés pour être circoncis </v>
      </c>
      <c r="B100" s="302"/>
      <c r="C100" s="302"/>
      <c r="D100" s="302"/>
      <c r="E100" s="302"/>
      <c r="F100" s="302"/>
      <c r="G100" s="302"/>
    </row>
    <row r="101" spans="1:7" s="52" customFormat="1" ht="138" customHeight="1" thickBot="1" x14ac:dyDescent="0.35">
      <c r="A101" s="306" t="str">
        <f ca="1">Translations!G102</f>
        <v>Cible nationale déjà couverte :
La cible du pays déjà couverte est ventilée selon l'origine des ressources, ressources nationales (rangée C1) et ressources extérieures (rangée C2). Les investissements du secteur privé national doivent figurer dans les sources nationales. Dans les cas où une partie de la cible est couverte pendant l'année par une subvention en cours du Fonds mondial (se terminant avant le début de la nouvelle période de mise en œuvre), le montant correspondant peut être inclus dans la catégorie des ressources extérieures. 
Une fois les rangées C1 et C2 remplies, le total de la cible nationale déjà couvert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101" s="306"/>
      <c r="C101" s="306"/>
      <c r="D101" s="306"/>
      <c r="E101" s="306"/>
      <c r="F101" s="306"/>
      <c r="G101" s="306"/>
    </row>
    <row r="102" spans="1:7" s="113" customFormat="1" ht="42" customHeight="1" thickBot="1" x14ac:dyDescent="0.35">
      <c r="A102" s="303" t="str">
        <f ca="1">Translations!G103</f>
        <v>Déficit programmatique :
Le déficit programmatique est calculé à partir de la cible du pays (rangée B).</v>
      </c>
      <c r="B102" s="303"/>
      <c r="C102" s="303"/>
      <c r="D102" s="303"/>
      <c r="E102" s="303"/>
      <c r="F102" s="303"/>
      <c r="G102" s="303"/>
    </row>
    <row r="103" spans="1:7" s="113" customFormat="1" ht="93.75" customHeight="1" thickBot="1" x14ac:dyDescent="0.35">
      <c r="A103" s="303" t="str">
        <f ca="1">Translations!G104</f>
        <v xml:space="preserve">Observations/Hypothèses :
1) Indiquez la zone cible
2) Précisez qui sont les autres sources de financement
3) Avec les cibles du pays, dans la colonne destinée aux observations, indiquez la proportion d'hommes circoncis (couverture actuelle et ciblée, qui doit inclure le nombre cumulé d'hommes circoncis) à partir des données disponibles provenant d'enquêtes ou de programmes </v>
      </c>
      <c r="B103" s="303"/>
      <c r="C103" s="303"/>
      <c r="D103" s="303"/>
      <c r="E103" s="303"/>
      <c r="F103" s="303"/>
      <c r="G103" s="303"/>
    </row>
    <row r="104" spans="1:7" ht="16" thickBot="1" x14ac:dyDescent="0.35">
      <c r="A104" s="299" t="str">
        <f ca="1">Translations!G59</f>
        <v>Onglet "NSP gap table"</v>
      </c>
      <c r="B104" s="299"/>
      <c r="C104" s="299"/>
      <c r="D104" s="299"/>
      <c r="E104" s="299"/>
      <c r="F104" s="299"/>
      <c r="G104" s="299"/>
    </row>
    <row r="105" spans="1:7" ht="14.5" thickBot="1" x14ac:dyDescent="0.35">
      <c r="A105" s="311" t="str">
        <f ca="1">Translations!G60</f>
        <v>Programmes de prévention destinés aux personnes qui s'injectent des drogues et à leurs partenaires - Programmes de distribution d'aiguilles et de seringues</v>
      </c>
      <c r="B105" s="311"/>
      <c r="C105" s="311"/>
      <c r="D105" s="311"/>
      <c r="E105" s="311"/>
      <c r="F105" s="311"/>
      <c r="G105" s="311"/>
    </row>
    <row r="106" spans="1:7" ht="29.25" customHeight="1" thickBot="1" x14ac:dyDescent="0.35">
      <c r="A106" s="302" t="str">
        <f ca="1">Translations!G61</f>
        <v xml:space="preserve">Indicateur de couverture : Nombre d'aiguilles et de seringues distribuées </v>
      </c>
      <c r="B106" s="302"/>
      <c r="C106" s="302"/>
      <c r="D106" s="302"/>
      <c r="E106" s="302"/>
      <c r="F106" s="302"/>
      <c r="G106" s="302"/>
    </row>
    <row r="107" spans="1:7" ht="35.25" customHeight="1" thickBot="1" x14ac:dyDescent="0.35">
      <c r="A107" s="303" t="str">
        <f ca="1">Translations!G62</f>
        <v xml:space="preserve">Estimation des populations dans le besoin/à risque :
Correspond au nombre estimé de personnes qui s'injectent des drogues </v>
      </c>
      <c r="B107" s="303"/>
      <c r="C107" s="303"/>
      <c r="D107" s="303"/>
      <c r="E107" s="303"/>
      <c r="F107" s="303"/>
      <c r="G107" s="303"/>
    </row>
    <row r="108" spans="1:7" ht="62.25" customHeight="1" thickBot="1" x14ac:dyDescent="0.35">
      <c r="A108" s="302" t="str">
        <f ca="1">Translations!G63</f>
        <v xml:space="preserve">Nombre d'aiguilles et de seringues a distribuer par personne et par an : 
Indiquez le nombre d'aiguilles et de seringues qu'il est prévu de distribuer par personne et par an.
Pour plus de détails, reportez-vous aux rangées directrices (en anglais) de l'OMS : </v>
      </c>
      <c r="B108" s="302"/>
      <c r="C108" s="302"/>
      <c r="D108" s="302"/>
      <c r="E108" s="302"/>
      <c r="F108" s="302"/>
      <c r="G108" s="302"/>
    </row>
    <row r="109" spans="1:7" ht="55.5" customHeight="1" thickBot="1" x14ac:dyDescent="0.35">
      <c r="A109" s="301" t="str">
        <f ca="1">Translations!G64</f>
        <v xml:space="preserve">Tool to Set and Monitor Targets for HIV Prevention, Diagnosis, Treatment and Care for Key Populations, juillet 2015 (pages 40 et 41)
http://apps.who.int/iris/bitstream/10665/177992/1/9789241508995_eng.pdf?ua=1&amp;ua=1 </v>
      </c>
      <c r="B109" s="301"/>
      <c r="C109" s="301"/>
      <c r="D109" s="301"/>
      <c r="E109" s="301"/>
      <c r="F109" s="301"/>
      <c r="G109" s="301"/>
    </row>
    <row r="110" spans="1:7" ht="71.25" customHeight="1" thickBot="1" x14ac:dyDescent="0.35">
      <c r="A110" s="302" t="str">
        <f ca="1">Translations!G65</f>
        <v>Cibles envisageables : Basse ← 100 ← Moyenne → 200 → Haute
Notez que les quantités nécessaires pour prévenir la transmission du VHC seront vraisemblablement très supérieures à celles qui sont proposées ici.
Ce nombre doit être calculé même si vous ne connaissez pas le nombre d'aiguilles/seringues vendues en pharmacie.</v>
      </c>
      <c r="B110" s="302"/>
      <c r="C110" s="302"/>
      <c r="D110" s="302"/>
      <c r="E110" s="302"/>
      <c r="F110" s="302"/>
      <c r="G110" s="302"/>
    </row>
    <row r="111" spans="1:7" ht="58.5" customHeight="1" thickBot="1" x14ac:dyDescent="0.35">
      <c r="A111" s="302" t="str">
        <f ca="1">Translations!G66</f>
        <v>Nombre total d'aiguilles et de seringues nécessaire :
Correspond au nombre total d'aiguilles et de seringues à distribuer chaque année, estimé à partir du nombre d'aiguilles et de seringues nécessaires par personne et par an.</v>
      </c>
      <c r="B111" s="302"/>
      <c r="C111" s="302"/>
      <c r="D111" s="302"/>
      <c r="E111" s="302"/>
      <c r="F111" s="302"/>
      <c r="G111" s="302"/>
    </row>
    <row r="112" spans="1:7" ht="75.75" customHeight="1" thickBot="1" x14ac:dyDescent="0.35">
      <c r="A112" s="302" t="str">
        <f ca="1">Translations!G67</f>
        <v xml:space="preserve">Cible du pays :
1) Se rapporte au plan stratégique national ou à toute autre cible du pays approuvée plus récemment
2) « # » correspond au nombre d'aiguilles et de seringues qu'il est prévu de distribuer chaque année dans le cadre du programme, en fonction de la couverture attendue des populations des personnes qui s'injectent des drogues et du nombre d'aiguilles et de seringues nécessaires par personne concernée.  </v>
      </c>
      <c r="B112" s="302"/>
      <c r="C112" s="302"/>
      <c r="D112" s="302"/>
      <c r="E112" s="302"/>
      <c r="F112" s="302"/>
      <c r="G112" s="302"/>
    </row>
    <row r="113" spans="1:7" ht="139.5" customHeight="1" thickBot="1" x14ac:dyDescent="0.35">
      <c r="A113" s="308" t="str">
        <f ca="1">Translations!G102</f>
        <v>Cible nationale déjà couverte :
La cible du pays déjà couverte est ventilée selon l'origine des ressources, ressources nationales (rangée C1) et ressources extérieures (rangée C2). Les investissements du secteur privé national doivent figurer dans les sources nationales. Dans les cas où une partie de la cible est couverte pendant l'année par une subvention en cours du Fonds mondial (se terminant avant le début de la nouvelle période de mise en œuvre), le montant correspondant peut être inclus dans la catégorie des ressources extérieures. 
Une fois les rangées C1 et C2 remplies, le total de la cible nationale déjà couvert s'affiche automatiquement dans la rangée C3. Notez que la rangée C3 est verrouillée et ne peut pas être modifiée. Par conséquent, si vous ne disposez de données ventilées entre ressources nationales et extérieures, indiquez le total dans la rangée C1. Dans ce cas, précisez dans la cellule des observations que les données de la rangée C1 correspondent au total des ressources nationales et extérieures.</v>
      </c>
      <c r="B113" s="308"/>
      <c r="C113" s="308"/>
      <c r="D113" s="308"/>
      <c r="E113" s="308"/>
      <c r="F113" s="308"/>
      <c r="G113" s="308"/>
    </row>
    <row r="114" spans="1:7" ht="35.25" customHeight="1" thickBot="1" x14ac:dyDescent="0.35">
      <c r="A114" s="303" t="str">
        <f ca="1">Translations!G81</f>
        <v>Déficit programmatique :
Le déficit programmatique pour les préservatifs masculins et féminins est calculé automatiquement à partir de la cible du pays (B1 et B2)</v>
      </c>
      <c r="B114" s="303"/>
      <c r="C114" s="303"/>
      <c r="D114" s="303"/>
      <c r="E114" s="303"/>
      <c r="F114" s="303"/>
      <c r="G114" s="303"/>
    </row>
    <row r="115" spans="1:7" ht="53.25" customHeight="1" thickBot="1" x14ac:dyDescent="0.35">
      <c r="A115" s="303" t="str">
        <f ca="1">Translations!G58</f>
        <v>Observations/Hypothèses :
1) Indiquez la zone cible
2) Précisez qui sont les autres sources de financement</v>
      </c>
      <c r="B115" s="303"/>
      <c r="C115" s="303"/>
      <c r="D115" s="303"/>
      <c r="E115" s="303"/>
      <c r="F115" s="303"/>
      <c r="G115" s="303"/>
    </row>
  </sheetData>
  <sheetProtection password="E205" sheet="1" formatColumns="0" formatRows="0"/>
  <mergeCells count="113">
    <mergeCell ref="A113:G113"/>
    <mergeCell ref="A114:G114"/>
    <mergeCell ref="A115:G115"/>
    <mergeCell ref="A111:G111"/>
    <mergeCell ref="A105:G105"/>
    <mergeCell ref="A106:G106"/>
    <mergeCell ref="A107:G107"/>
    <mergeCell ref="A108:G108"/>
    <mergeCell ref="A112:G112"/>
    <mergeCell ref="A75:G75"/>
    <mergeCell ref="A10:G10"/>
    <mergeCell ref="A14:G14"/>
    <mergeCell ref="A12:G12"/>
    <mergeCell ref="A13:G13"/>
    <mergeCell ref="A25:G25"/>
    <mergeCell ref="A65:G65"/>
    <mergeCell ref="A66:G66"/>
    <mergeCell ref="A29:G29"/>
    <mergeCell ref="A30:G30"/>
    <mergeCell ref="A24:G24"/>
    <mergeCell ref="A74:G74"/>
    <mergeCell ref="A69:G69"/>
    <mergeCell ref="A70:G70"/>
    <mergeCell ref="A27:G27"/>
    <mergeCell ref="A28:G28"/>
    <mergeCell ref="A62:G62"/>
    <mergeCell ref="A63:G63"/>
    <mergeCell ref="A64:G64"/>
    <mergeCell ref="A26:G26"/>
    <mergeCell ref="A33:G33"/>
    <mergeCell ref="A40:G40"/>
    <mergeCell ref="A47:G47"/>
    <mergeCell ref="A61:G61"/>
    <mergeCell ref="A1:F1"/>
    <mergeCell ref="A2:F2"/>
    <mergeCell ref="A3:F3"/>
    <mergeCell ref="B6:D6"/>
    <mergeCell ref="A8:G8"/>
    <mergeCell ref="A18:G18"/>
    <mergeCell ref="A20:G20"/>
    <mergeCell ref="A21:G21"/>
    <mergeCell ref="A23:G23"/>
    <mergeCell ref="A22:G22"/>
    <mergeCell ref="A19:G19"/>
    <mergeCell ref="A17:G17"/>
    <mergeCell ref="A9:G9"/>
    <mergeCell ref="A15:G15"/>
    <mergeCell ref="A16:G16"/>
    <mergeCell ref="A11:G11"/>
    <mergeCell ref="G1:G3"/>
    <mergeCell ref="A68:G68"/>
    <mergeCell ref="A73:G73"/>
    <mergeCell ref="A71:G71"/>
    <mergeCell ref="A72:G72"/>
    <mergeCell ref="A41:G41"/>
    <mergeCell ref="A42:G42"/>
    <mergeCell ref="A43:G43"/>
    <mergeCell ref="A44:G44"/>
    <mergeCell ref="A60:G60"/>
    <mergeCell ref="A67:G67"/>
    <mergeCell ref="A50:G50"/>
    <mergeCell ref="A51:G51"/>
    <mergeCell ref="A52:G52"/>
    <mergeCell ref="A53:G53"/>
    <mergeCell ref="A55:G55"/>
    <mergeCell ref="A81:G81"/>
    <mergeCell ref="A82:G82"/>
    <mergeCell ref="A83:G83"/>
    <mergeCell ref="A84:G84"/>
    <mergeCell ref="A85:G85"/>
    <mergeCell ref="A76:G76"/>
    <mergeCell ref="A77:G77"/>
    <mergeCell ref="A31:G31"/>
    <mergeCell ref="A59:G59"/>
    <mergeCell ref="A46:G46"/>
    <mergeCell ref="A48:G48"/>
    <mergeCell ref="A49:G49"/>
    <mergeCell ref="A45:G45"/>
    <mergeCell ref="A32:G32"/>
    <mergeCell ref="A34:G34"/>
    <mergeCell ref="A35:G35"/>
    <mergeCell ref="A36:G36"/>
    <mergeCell ref="A37:G37"/>
    <mergeCell ref="A38:G38"/>
    <mergeCell ref="A57:G57"/>
    <mergeCell ref="A58:G58"/>
    <mergeCell ref="A39:G39"/>
    <mergeCell ref="A56:G56"/>
    <mergeCell ref="A54:G54"/>
    <mergeCell ref="A104:G104"/>
    <mergeCell ref="A78:G78"/>
    <mergeCell ref="A109:G109"/>
    <mergeCell ref="A110:G110"/>
    <mergeCell ref="A102:G102"/>
    <mergeCell ref="A103:G103"/>
    <mergeCell ref="A95:G95"/>
    <mergeCell ref="A97:G97"/>
    <mergeCell ref="A98:G98"/>
    <mergeCell ref="A99:G99"/>
    <mergeCell ref="A96:G96"/>
    <mergeCell ref="A100:G100"/>
    <mergeCell ref="A101:G101"/>
    <mergeCell ref="A88:G88"/>
    <mergeCell ref="A86:G86"/>
    <mergeCell ref="A93:G93"/>
    <mergeCell ref="A89:G89"/>
    <mergeCell ref="A90:G90"/>
    <mergeCell ref="A91:G91"/>
    <mergeCell ref="A92:G92"/>
    <mergeCell ref="A94:G94"/>
    <mergeCell ref="A87:G87"/>
    <mergeCell ref="A79:G79"/>
    <mergeCell ref="A80:G80"/>
  </mergeCells>
  <dataValidations count="1">
    <dataValidation type="list" allowBlank="1" showInputMessage="1" showErrorMessage="1" sqref="B6" xr:uid="{00000000-0002-0000-0100-000000000000}">
      <formula1>"English,French,Spanish"</formula1>
    </dataValidation>
  </dataValidations>
  <hyperlinks>
    <hyperlink ref="A109:G109" r:id="rId1" display="http://apps.who.int/iris/bitstream/10665/177992/1/9789241508995_eng.pdf?ua=1&amp;ua=1" xr:uid="{00000000-0004-0000-0100-000000000000}"/>
    <hyperlink ref="A88:G88" r:id="rId2" display="https://hivpreventioncoalition.unaids.org/resource/condom-needs-and-resource-requirement-estimation-tool/" xr:uid="{00000000-0004-0000-0100-000001000000}"/>
  </hyperlinks>
  <pageMargins left="0.70866141732283472" right="0.70866141732283472" top="0.74803149606299213" bottom="0.74803149606299213" header="0.31496062992125984" footer="0.31496062992125984"/>
  <pageSetup paperSize="8" scale="56" fitToHeight="4" orientation="portrait" r:id="rId3"/>
  <rowBreaks count="1" manualBreakCount="1">
    <brk id="9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V206"/>
  <sheetViews>
    <sheetView view="pageBreakPreview" topLeftCell="A130" zoomScale="130" zoomScaleNormal="80" zoomScaleSheetLayoutView="130" zoomScalePageLayoutView="80" workbookViewId="0">
      <selection activeCell="C134" sqref="C134:E134"/>
    </sheetView>
  </sheetViews>
  <sheetFormatPr baseColWidth="10" defaultColWidth="9" defaultRowHeight="14.5" x14ac:dyDescent="0.35"/>
  <cols>
    <col min="1" max="1" width="24.58203125" style="116" customWidth="1"/>
    <col min="2" max="2" width="8.58203125" style="116" customWidth="1"/>
    <col min="3" max="5" width="11.58203125" style="116" customWidth="1"/>
    <col min="6" max="6" width="98.6640625" style="116" customWidth="1"/>
    <col min="7" max="7" width="15.08203125" style="116" customWidth="1"/>
    <col min="8" max="8" width="21.58203125" style="116" customWidth="1"/>
    <col min="9" max="9" width="9" style="116"/>
    <col min="10" max="10" width="10.08203125" style="116" customWidth="1"/>
    <col min="11" max="11" width="10.58203125" style="116" customWidth="1"/>
    <col min="12" max="12" width="12.08203125" style="116" customWidth="1"/>
    <col min="13" max="16384" width="9" style="116"/>
  </cols>
  <sheetData>
    <row r="1" spans="1:22" s="113" customFormat="1" ht="19.5" customHeight="1" x14ac:dyDescent="0.3">
      <c r="A1" s="346" t="s">
        <v>24</v>
      </c>
      <c r="B1" s="346"/>
      <c r="C1" s="346"/>
      <c r="D1" s="346"/>
      <c r="E1" s="346"/>
      <c r="F1" s="349" t="str">
        <f ca="1">Translations!$G$116</f>
        <v>Dernière version mise à jour mars 2020</v>
      </c>
      <c r="G1" s="115"/>
      <c r="H1" s="24"/>
      <c r="I1" s="25"/>
      <c r="J1" s="25"/>
      <c r="K1" s="25"/>
      <c r="L1" s="25"/>
      <c r="M1" s="25"/>
      <c r="N1" s="25"/>
      <c r="O1" s="26"/>
      <c r="P1" s="26"/>
      <c r="Q1" s="26"/>
      <c r="R1" s="26"/>
      <c r="S1" s="26"/>
      <c r="T1" s="26"/>
      <c r="U1" s="26"/>
      <c r="V1" s="26"/>
    </row>
    <row r="2" spans="1:22" s="113" customFormat="1" ht="19.5" customHeight="1" x14ac:dyDescent="0.3">
      <c r="A2" s="347" t="s">
        <v>516</v>
      </c>
      <c r="B2" s="347"/>
      <c r="C2" s="347"/>
      <c r="D2" s="347"/>
      <c r="E2" s="347"/>
      <c r="F2" s="350"/>
      <c r="G2" s="115"/>
      <c r="H2" s="24"/>
      <c r="I2" s="25"/>
      <c r="J2" s="25"/>
      <c r="K2" s="25"/>
      <c r="L2" s="25"/>
      <c r="M2" s="25"/>
      <c r="N2" s="25"/>
      <c r="O2" s="26"/>
      <c r="P2" s="26"/>
      <c r="Q2" s="26"/>
      <c r="R2" s="26"/>
      <c r="S2" s="26"/>
      <c r="T2" s="26"/>
      <c r="U2" s="26"/>
      <c r="V2" s="26"/>
    </row>
    <row r="3" spans="1:22" s="113" customFormat="1" ht="19.5" customHeight="1" thickBot="1" x14ac:dyDescent="0.35">
      <c r="A3" s="347" t="s">
        <v>517</v>
      </c>
      <c r="B3" s="347"/>
      <c r="C3" s="347"/>
      <c r="D3" s="347"/>
      <c r="E3" s="347"/>
      <c r="F3" s="350"/>
      <c r="G3" s="115"/>
      <c r="H3" s="24"/>
      <c r="I3" s="25"/>
      <c r="J3" s="25"/>
      <c r="K3" s="25"/>
      <c r="L3" s="25"/>
      <c r="M3" s="25"/>
      <c r="N3" s="25"/>
      <c r="O3" s="26"/>
      <c r="P3" s="26"/>
      <c r="Q3" s="26"/>
      <c r="R3" s="26"/>
      <c r="S3" s="26"/>
      <c r="T3" s="26"/>
      <c r="U3" s="26"/>
      <c r="V3" s="26"/>
    </row>
    <row r="4" spans="1:22" ht="46.5" customHeight="1" thickBot="1" x14ac:dyDescent="0.4">
      <c r="A4" s="348" t="str">
        <f ca="1">Translations!$G$114</f>
        <v xml:space="preserve">Veuillez lire attentivement les consignes données dans l'onglet « Instructions » avant de compléter le tableau d'analyse des déficits programmatiques. 
Les instructions ont été adaptées à chaque module/intervention. </v>
      </c>
      <c r="B4" s="348"/>
      <c r="C4" s="348"/>
      <c r="D4" s="348"/>
      <c r="E4" s="348"/>
      <c r="F4" s="348"/>
      <c r="G4" s="345"/>
      <c r="H4" s="345"/>
    </row>
    <row r="5" spans="1:22" ht="18.5" thickBot="1" x14ac:dyDescent="0.4">
      <c r="A5" s="117" t="str">
        <f ca="1">Translations!$A$3</f>
        <v>VIH/sida</v>
      </c>
      <c r="B5" s="118"/>
      <c r="C5" s="118"/>
      <c r="D5" s="118"/>
      <c r="E5" s="118"/>
      <c r="F5" s="119"/>
    </row>
    <row r="6" spans="1:22" ht="16.5" customHeight="1" x14ac:dyDescent="0.35">
      <c r="A6" s="120" t="str">
        <f ca="1">Translations!$A$4</f>
        <v>Tableau 1 des déficits programmatiques pour le VIH/sida (par intervention prioritaire)</v>
      </c>
      <c r="B6" s="121"/>
      <c r="C6" s="121"/>
      <c r="D6" s="121"/>
      <c r="E6" s="122"/>
      <c r="F6" s="123"/>
    </row>
    <row r="7" spans="1:22" ht="29.25" customHeight="1" x14ac:dyDescent="0.35">
      <c r="A7" s="124" t="str">
        <f ca="1">Translations!$A$10</f>
        <v>Module prioritaire</v>
      </c>
      <c r="B7" s="326" t="s">
        <v>627</v>
      </c>
      <c r="C7" s="327"/>
      <c r="D7" s="327"/>
      <c r="E7" s="327"/>
      <c r="F7" s="328"/>
    </row>
    <row r="8" spans="1:22" ht="34.5" customHeight="1" x14ac:dyDescent="0.35">
      <c r="A8" s="124" t="str">
        <f ca="1">Translations!$A$11</f>
        <v>Indicateur de couverture sélectionné</v>
      </c>
      <c r="B8" s="320" t="str">
        <f ca="1">VLOOKUP(B7,HIVModulesIndicators,2,FALSE)</f>
        <v>Pourcentage de personnes appartenant aux populations clés atteintes par des programmes de prévention - paquet de services définis</v>
      </c>
      <c r="C8" s="321"/>
      <c r="D8" s="321"/>
      <c r="E8" s="321"/>
      <c r="F8" s="322"/>
    </row>
    <row r="9" spans="1:22" ht="34.5" customHeight="1" x14ac:dyDescent="0.35">
      <c r="A9" s="125" t="str">
        <f ca="1">Translations!$A$12</f>
        <v>Population cible</v>
      </c>
      <c r="B9" s="337" t="s">
        <v>1153</v>
      </c>
      <c r="C9" s="338"/>
      <c r="D9" s="338"/>
      <c r="E9" s="338"/>
      <c r="F9" s="339"/>
    </row>
    <row r="10" spans="1:22" x14ac:dyDescent="0.35">
      <c r="A10" s="126" t="str">
        <f ca="1">Translations!$A$13</f>
        <v>Couverture nationale actuelle</v>
      </c>
      <c r="B10" s="127"/>
      <c r="C10" s="127"/>
      <c r="D10" s="127"/>
      <c r="E10" s="127"/>
      <c r="F10" s="128"/>
    </row>
    <row r="11" spans="1:22" ht="33.75" customHeight="1" x14ac:dyDescent="0.35">
      <c r="A11" s="129" t="str">
        <f ca="1">Translations!$A$14</f>
        <v>Indiquez les résultats les plus récents</v>
      </c>
      <c r="B11" s="289">
        <v>0.38</v>
      </c>
      <c r="C11" s="130" t="str">
        <f ca="1">Translations!$A$15</f>
        <v>Année</v>
      </c>
      <c r="D11" s="53">
        <v>2019</v>
      </c>
      <c r="E11" s="131" t="str">
        <f ca="1">Translations!$A$16</f>
        <v>Source des données</v>
      </c>
      <c r="F11" s="53" t="s">
        <v>1156</v>
      </c>
    </row>
    <row r="12" spans="1:22" ht="24.75" customHeight="1" thickBot="1" x14ac:dyDescent="0.4">
      <c r="A12" s="132" t="str">
        <f ca="1">Translations!$A$17</f>
        <v>Observations</v>
      </c>
      <c r="B12" s="323"/>
      <c r="C12" s="324"/>
      <c r="D12" s="324"/>
      <c r="E12" s="324"/>
      <c r="F12" s="325"/>
    </row>
    <row r="13" spans="1:22" ht="15" thickBot="1" x14ac:dyDescent="0.4">
      <c r="A13" s="133"/>
      <c r="B13" s="134"/>
      <c r="C13" s="134"/>
      <c r="D13" s="134"/>
      <c r="E13" s="134"/>
      <c r="F13" s="135"/>
    </row>
    <row r="14" spans="1:22" x14ac:dyDescent="0.35">
      <c r="A14" s="329"/>
      <c r="B14" s="330"/>
      <c r="C14" s="136" t="str">
        <f ca="1">Translations!$A$18</f>
        <v>Année 1</v>
      </c>
      <c r="D14" s="136" t="str">
        <f ca="1">Translations!$A$19</f>
        <v>Année 2</v>
      </c>
      <c r="E14" s="136" t="str">
        <f ca="1">Translations!$A$20</f>
        <v>Année 3</v>
      </c>
      <c r="F14" s="333" t="str">
        <f ca="1">Translations!$A$22</f>
        <v>Observations/Hypothèses</v>
      </c>
    </row>
    <row r="15" spans="1:22" ht="34.5" customHeight="1" x14ac:dyDescent="0.35">
      <c r="A15" s="331"/>
      <c r="B15" s="332"/>
      <c r="C15" s="56">
        <v>2021</v>
      </c>
      <c r="D15" s="56">
        <v>2022</v>
      </c>
      <c r="E15" s="56">
        <v>2023</v>
      </c>
      <c r="F15" s="334"/>
    </row>
    <row r="16" spans="1:22" ht="15" customHeight="1" x14ac:dyDescent="0.35">
      <c r="A16" s="137" t="str">
        <f ca="1">Translations!$A$23</f>
        <v>Estimation des besoins actuels du pays</v>
      </c>
      <c r="B16" s="138"/>
      <c r="C16" s="138"/>
      <c r="D16" s="138"/>
      <c r="E16" s="138"/>
      <c r="F16" s="139"/>
    </row>
    <row r="17" spans="1:6" ht="42" x14ac:dyDescent="0.35">
      <c r="A17" s="140" t="str">
        <f ca="1">Translations!$A$24</f>
        <v>A. Estimation du total des populations dans le besoin/à risque (Prévention VIH)</v>
      </c>
      <c r="B17" s="141" t="s">
        <v>7</v>
      </c>
      <c r="C17" s="230">
        <v>36501</v>
      </c>
      <c r="D17" s="230">
        <v>37450</v>
      </c>
      <c r="E17" s="230">
        <v>38424</v>
      </c>
      <c r="F17" s="291" t="s">
        <v>1219</v>
      </c>
    </row>
    <row r="18" spans="1:6" ht="61" customHeight="1" x14ac:dyDescent="0.35">
      <c r="A18" s="318" t="str">
        <f ca="1">Translations!$A$25</f>
        <v>B. Cibles du pays
(à partir du plan stratégique national)</v>
      </c>
      <c r="B18" s="142" t="s">
        <v>7</v>
      </c>
      <c r="C18" s="230">
        <f>C17*60%</f>
        <v>21900.6</v>
      </c>
      <c r="D18" s="230">
        <f>D17*70%</f>
        <v>26215</v>
      </c>
      <c r="E18" s="230">
        <f>E17*80%</f>
        <v>30739.200000000001</v>
      </c>
      <c r="F18" s="340" t="s">
        <v>1224</v>
      </c>
    </row>
    <row r="19" spans="1:6" ht="72.5" customHeight="1" x14ac:dyDescent="0.35">
      <c r="A19" s="319"/>
      <c r="B19" s="142" t="s">
        <v>15</v>
      </c>
      <c r="C19" s="62">
        <f>IF(C18=0,"",+C18/C17)</f>
        <v>0.6</v>
      </c>
      <c r="D19" s="62">
        <f t="shared" ref="D19:E19" si="0">IF(D18=0,"",+D18/D17)</f>
        <v>0.7</v>
      </c>
      <c r="E19" s="62">
        <f t="shared" si="0"/>
        <v>0.8</v>
      </c>
      <c r="F19" s="341"/>
    </row>
    <row r="20" spans="1:6" ht="15" customHeight="1" x14ac:dyDescent="0.35">
      <c r="A20" s="137" t="str">
        <f ca="1">Translations!$A$26</f>
        <v>Besoins du pays déjà couverts</v>
      </c>
      <c r="B20" s="143"/>
      <c r="C20" s="143"/>
      <c r="D20" s="143"/>
      <c r="E20" s="143"/>
      <c r="F20" s="144"/>
    </row>
    <row r="21" spans="1:6" ht="34.5" customHeight="1" x14ac:dyDescent="0.35">
      <c r="A21" s="318" t="str">
        <f ca="1">Translations!$A$27</f>
        <v>C1. Besoins du pays devant être couverts par des ressources nationales</v>
      </c>
      <c r="B21" s="141" t="s">
        <v>7</v>
      </c>
      <c r="C21" s="230">
        <f>C18*5%</f>
        <v>1095.03</v>
      </c>
      <c r="D21" s="230">
        <f>D18*7.5%</f>
        <v>1966.125</v>
      </c>
      <c r="E21" s="230">
        <f>E18*10%</f>
        <v>3073.92</v>
      </c>
      <c r="F21" s="340" t="s">
        <v>1157</v>
      </c>
    </row>
    <row r="22" spans="1:6" ht="36" customHeight="1" x14ac:dyDescent="0.35">
      <c r="A22" s="319"/>
      <c r="B22" s="141" t="s">
        <v>15</v>
      </c>
      <c r="C22" s="62">
        <f>IF(C21=0,"",+C21/C17)</f>
        <v>0.03</v>
      </c>
      <c r="D22" s="62">
        <f>IF(D21=0,"",+D21/D17)</f>
        <v>5.2499999999999998E-2</v>
      </c>
      <c r="E22" s="62">
        <f>IF(E21=0,"",+E21/E17)</f>
        <v>0.08</v>
      </c>
      <c r="F22" s="341"/>
    </row>
    <row r="23" spans="1:6" ht="37" customHeight="1" x14ac:dyDescent="0.35">
      <c r="A23" s="318" t="str">
        <f ca="1">Translations!$A$28</f>
        <v>C2. Besoins du pays devant être couverts par des ressources extérieures</v>
      </c>
      <c r="B23" s="141" t="s">
        <v>7</v>
      </c>
      <c r="C23" s="230">
        <v>8863</v>
      </c>
      <c r="D23" s="230">
        <v>8863</v>
      </c>
      <c r="E23" s="230">
        <v>8863</v>
      </c>
      <c r="F23" s="340" t="s">
        <v>1230</v>
      </c>
    </row>
    <row r="24" spans="1:6" ht="37.5" customHeight="1" x14ac:dyDescent="0.35">
      <c r="A24" s="319"/>
      <c r="B24" s="141" t="s">
        <v>15</v>
      </c>
      <c r="C24" s="62">
        <f>IF(C23=0,"",+C23/C17)</f>
        <v>0.24281526533519629</v>
      </c>
      <c r="D24" s="62">
        <f>IF(D23=0,"",+D23/D17)</f>
        <v>0.23666221628838452</v>
      </c>
      <c r="E24" s="62">
        <f>IF(E23=0,"",+E23/E17)</f>
        <v>0.23066312721215906</v>
      </c>
      <c r="F24" s="341"/>
    </row>
    <row r="25" spans="1:6" ht="33" customHeight="1" x14ac:dyDescent="0.35">
      <c r="A25" s="318" t="str">
        <f ca="1">Translations!$A$29</f>
        <v>C3. Total des besoins du pays déjà couverts</v>
      </c>
      <c r="B25" s="141" t="s">
        <v>7</v>
      </c>
      <c r="C25" s="63">
        <f>+C21+C23</f>
        <v>9958.0300000000007</v>
      </c>
      <c r="D25" s="63">
        <f>+D21+D23</f>
        <v>10829.125</v>
      </c>
      <c r="E25" s="63">
        <f>+E21+E23</f>
        <v>11936.92</v>
      </c>
      <c r="F25" s="61"/>
    </row>
    <row r="26" spans="1:6" ht="30.75" customHeight="1" x14ac:dyDescent="0.35">
      <c r="A26" s="319"/>
      <c r="B26" s="141" t="s">
        <v>15</v>
      </c>
      <c r="C26" s="62">
        <f>IF(C25=0,"",+C25/C17)</f>
        <v>0.27281526533519629</v>
      </c>
      <c r="D26" s="62">
        <f>IF(D25=0,"",+D25/D17)</f>
        <v>0.28916221628838451</v>
      </c>
      <c r="E26" s="62">
        <f>IF(E25=0,"",+E25/E17)</f>
        <v>0.31066312721215905</v>
      </c>
      <c r="F26" s="61"/>
    </row>
    <row r="27" spans="1:6" x14ac:dyDescent="0.35">
      <c r="A27" s="137" t="str">
        <f ca="1">Translations!$A$30</f>
        <v>Déficit programmatique</v>
      </c>
      <c r="B27" s="143"/>
      <c r="C27" s="143"/>
      <c r="D27" s="143"/>
      <c r="E27" s="143"/>
      <c r="F27" s="144"/>
    </row>
    <row r="28" spans="1:6" ht="41.25" customHeight="1" x14ac:dyDescent="0.35">
      <c r="A28" s="335" t="str">
        <f ca="1">Translations!$A$31</f>
        <v>D. Déficit annuel attendu par rapport aux besoins : A - C3</v>
      </c>
      <c r="B28" s="141" t="s">
        <v>7</v>
      </c>
      <c r="C28" s="64">
        <f>+C17-(C25)</f>
        <v>26542.97</v>
      </c>
      <c r="D28" s="64">
        <f>+D17-(D25)</f>
        <v>26620.875</v>
      </c>
      <c r="E28" s="64">
        <f>+E17-(E25)</f>
        <v>26487.08</v>
      </c>
      <c r="F28" s="343"/>
    </row>
    <row r="29" spans="1:6" ht="40.5" customHeight="1" x14ac:dyDescent="0.35">
      <c r="A29" s="336"/>
      <c r="B29" s="141" t="s">
        <v>15</v>
      </c>
      <c r="C29" s="62">
        <f>IF(C28=0,"",+C28/C17)</f>
        <v>0.72718473466480371</v>
      </c>
      <c r="D29" s="62">
        <f>IF(D28=0,"",+D28/D17)</f>
        <v>0.71083778371161543</v>
      </c>
      <c r="E29" s="62">
        <f>IF(E28=0,"",+E28/E17)</f>
        <v>0.68933687278784095</v>
      </c>
      <c r="F29" s="344"/>
    </row>
    <row r="30" spans="1:6" ht="15" customHeight="1" x14ac:dyDescent="0.35">
      <c r="A30" s="145" t="str">
        <f ca="1">Translations!$A$32</f>
        <v>Besoins du pays couverts par la somme allouée</v>
      </c>
      <c r="B30" s="143"/>
      <c r="C30" s="143"/>
      <c r="D30" s="143"/>
      <c r="E30" s="143"/>
      <c r="F30" s="144"/>
    </row>
    <row r="31" spans="1:6" ht="41.25" customHeight="1" x14ac:dyDescent="0.35">
      <c r="A31" s="335" t="str">
        <f ca="1">Translations!$A$33</f>
        <v>E. Cibles devant être financées par la somme allouée</v>
      </c>
      <c r="B31" s="142" t="s">
        <v>7</v>
      </c>
      <c r="C31" s="290">
        <v>9062</v>
      </c>
      <c r="D31" s="290">
        <v>9297</v>
      </c>
      <c r="E31" s="290">
        <v>9539</v>
      </c>
      <c r="F31" s="340" t="s">
        <v>1231</v>
      </c>
    </row>
    <row r="32" spans="1:6" ht="41.25" customHeight="1" x14ac:dyDescent="0.35">
      <c r="A32" s="336"/>
      <c r="B32" s="142" t="s">
        <v>15</v>
      </c>
      <c r="C32" s="62">
        <f>IF(C31=0,"",+C31/C17)</f>
        <v>0.24826717076244487</v>
      </c>
      <c r="D32" s="62">
        <f>IF(D31=0,"",+D31/D17)</f>
        <v>0.24825100133511349</v>
      </c>
      <c r="E32" s="62">
        <f>IF(E31=0,"",+E31/E17)</f>
        <v>0.24825629814699146</v>
      </c>
      <c r="F32" s="341"/>
    </row>
    <row r="33" spans="1:6" ht="42" customHeight="1" x14ac:dyDescent="0.35">
      <c r="A33" s="335" t="str">
        <f ca="1">Translations!$A$34</f>
        <v>F. Couverture par la somme allouée et d'autres ressources : E + C3</v>
      </c>
      <c r="B33" s="142" t="s">
        <v>7</v>
      </c>
      <c r="C33" s="64">
        <f>+C31+C25</f>
        <v>19020.03</v>
      </c>
      <c r="D33" s="64">
        <f>+D31+D25</f>
        <v>20126.125</v>
      </c>
      <c r="E33" s="64">
        <f>+E31+E25</f>
        <v>21475.919999999998</v>
      </c>
      <c r="F33" s="343"/>
    </row>
    <row r="34" spans="1:6" ht="42" customHeight="1" x14ac:dyDescent="0.35">
      <c r="A34" s="336"/>
      <c r="B34" s="142" t="s">
        <v>15</v>
      </c>
      <c r="C34" s="62">
        <f>IF(C33=0,"",+C33/C17)</f>
        <v>0.52108243609764116</v>
      </c>
      <c r="D34" s="62">
        <f>IF(D33=0,"",+D33/D17)</f>
        <v>0.53741321762349803</v>
      </c>
      <c r="E34" s="62">
        <f>IF(E33=0,"",+E33/E17)</f>
        <v>0.55891942535915051</v>
      </c>
      <c r="F34" s="344"/>
    </row>
    <row r="35" spans="1:6" ht="41.25" customHeight="1" x14ac:dyDescent="0.35">
      <c r="A35" s="335" t="str">
        <f ca="1">Translations!$A$35</f>
        <v xml:space="preserve">G. Déficit restant : A - F </v>
      </c>
      <c r="B35" s="142" t="s">
        <v>7</v>
      </c>
      <c r="C35" s="64">
        <f>+C17-(C33)</f>
        <v>17480.97</v>
      </c>
      <c r="D35" s="64">
        <f>+D17-(D33)</f>
        <v>17323.875</v>
      </c>
      <c r="E35" s="64">
        <f>+E17-(E33)</f>
        <v>16948.080000000002</v>
      </c>
      <c r="F35" s="343"/>
    </row>
    <row r="36" spans="1:6" ht="41.25" customHeight="1" thickBot="1" x14ac:dyDescent="0.4">
      <c r="A36" s="342"/>
      <c r="B36" s="142" t="s">
        <v>15</v>
      </c>
      <c r="C36" s="62">
        <f>IF(C35=0,"",+C35/C17)</f>
        <v>0.47891756390235884</v>
      </c>
      <c r="D36" s="62">
        <f>IF(D35=0,"",+D35/D17)</f>
        <v>0.46258678237650203</v>
      </c>
      <c r="E36" s="62">
        <f>IF(E35=0,"",+E35/E17)</f>
        <v>0.44108057464084949</v>
      </c>
      <c r="F36" s="344"/>
    </row>
    <row r="37" spans="1:6" x14ac:dyDescent="0.35">
      <c r="A37" s="146"/>
      <c r="B37" s="146"/>
      <c r="C37" s="146"/>
      <c r="D37" s="146"/>
      <c r="E37" s="146"/>
      <c r="F37" s="146"/>
    </row>
    <row r="38" spans="1:6" ht="15" thickBot="1" x14ac:dyDescent="0.4">
      <c r="A38" s="146"/>
      <c r="B38" s="146"/>
      <c r="C38" s="146"/>
      <c r="D38" s="146"/>
      <c r="E38" s="146"/>
      <c r="F38" s="146"/>
    </row>
    <row r="39" spans="1:6" ht="18.5" thickBot="1" x14ac:dyDescent="0.4">
      <c r="A39" s="117" t="str">
        <f ca="1">Translations!$A$3</f>
        <v>VIH/sida</v>
      </c>
      <c r="B39" s="118"/>
      <c r="C39" s="118"/>
      <c r="D39" s="118"/>
      <c r="E39" s="118"/>
      <c r="F39" s="119"/>
    </row>
    <row r="40" spans="1:6" ht="14.25" customHeight="1" x14ac:dyDescent="0.35">
      <c r="A40" s="120" t="str">
        <f ca="1">Translations!$A$5</f>
        <v>Tableau 2 des déficits programmatiques pour le VIH/sida (par intervention prioritaire)</v>
      </c>
      <c r="B40" s="121"/>
      <c r="C40" s="121"/>
      <c r="D40" s="121"/>
      <c r="E40" s="122"/>
      <c r="F40" s="123"/>
    </row>
    <row r="41" spans="1:6" ht="30" customHeight="1" x14ac:dyDescent="0.35">
      <c r="A41" s="124" t="str">
        <f ca="1">Translations!$A$10</f>
        <v>Module prioritaire</v>
      </c>
      <c r="B41" s="326" t="s">
        <v>632</v>
      </c>
      <c r="C41" s="327"/>
      <c r="D41" s="327"/>
      <c r="E41" s="327"/>
      <c r="F41" s="328"/>
    </row>
    <row r="42" spans="1:6" ht="30" customHeight="1" x14ac:dyDescent="0.35">
      <c r="A42" s="124" t="str">
        <f ca="1">Translations!$A$11</f>
        <v>Indicateur de couverture sélectionné</v>
      </c>
      <c r="B42" s="320" t="str">
        <f ca="1">VLOOKUP(B41,HIVModulesIndicators,2,FALSE)</f>
        <v xml:space="preserve">Pourcentage de personnes qui s'injectent des drogues suivant un traitement de substitution aux opiacés </v>
      </c>
      <c r="C42" s="321"/>
      <c r="D42" s="321"/>
      <c r="E42" s="321"/>
      <c r="F42" s="322"/>
    </row>
    <row r="43" spans="1:6" ht="30" customHeight="1" x14ac:dyDescent="0.35">
      <c r="A43" s="125" t="str">
        <f ca="1">Translations!$A$12</f>
        <v>Population cible</v>
      </c>
      <c r="B43" s="337" t="s">
        <v>829</v>
      </c>
      <c r="C43" s="338"/>
      <c r="D43" s="338"/>
      <c r="E43" s="338"/>
      <c r="F43" s="339"/>
    </row>
    <row r="44" spans="1:6" x14ac:dyDescent="0.35">
      <c r="A44" s="126" t="str">
        <f ca="1">Translations!$A$13</f>
        <v>Couverture nationale actuelle</v>
      </c>
      <c r="B44" s="127"/>
      <c r="C44" s="127"/>
      <c r="D44" s="127"/>
      <c r="E44" s="127"/>
      <c r="F44" s="128"/>
    </row>
    <row r="45" spans="1:6" ht="34" customHeight="1" x14ac:dyDescent="0.35">
      <c r="A45" s="129" t="str">
        <f ca="1">Translations!$A$14</f>
        <v>Indiquez les résultats les plus récents</v>
      </c>
      <c r="B45" s="293">
        <v>0</v>
      </c>
      <c r="C45" s="130" t="str">
        <f ca="1">Translations!$A$15</f>
        <v>Année</v>
      </c>
      <c r="D45" s="53">
        <v>2019</v>
      </c>
      <c r="E45" s="131" t="str">
        <f ca="1">Translations!$A$16</f>
        <v>Source des données</v>
      </c>
      <c r="F45" s="53" t="s">
        <v>1158</v>
      </c>
    </row>
    <row r="46" spans="1:6" ht="30" customHeight="1" thickBot="1" x14ac:dyDescent="0.4">
      <c r="A46" s="132" t="str">
        <f ca="1">Translations!$A$17</f>
        <v>Observations</v>
      </c>
      <c r="B46" s="323"/>
      <c r="C46" s="324"/>
      <c r="D46" s="324"/>
      <c r="E46" s="324"/>
      <c r="F46" s="325"/>
    </row>
    <row r="47" spans="1:6" ht="15" thickBot="1" x14ac:dyDescent="0.4">
      <c r="A47" s="133"/>
      <c r="B47" s="134"/>
      <c r="C47" s="134"/>
      <c r="D47" s="134"/>
      <c r="E47" s="134"/>
      <c r="F47" s="135"/>
    </row>
    <row r="48" spans="1:6" x14ac:dyDescent="0.35">
      <c r="A48" s="329"/>
      <c r="B48" s="330"/>
      <c r="C48" s="136" t="str">
        <f ca="1">Translations!$A$18</f>
        <v>Année 1</v>
      </c>
      <c r="D48" s="136" t="str">
        <f ca="1">Translations!$A$19</f>
        <v>Année 2</v>
      </c>
      <c r="E48" s="136" t="str">
        <f ca="1">Translations!$A$20</f>
        <v>Année 3</v>
      </c>
      <c r="F48" s="333" t="str">
        <f ca="1">Translations!$A$22</f>
        <v>Observations/Hypothèses</v>
      </c>
    </row>
    <row r="49" spans="1:6" ht="39.75" customHeight="1" x14ac:dyDescent="0.35">
      <c r="A49" s="331"/>
      <c r="B49" s="332"/>
      <c r="C49" s="56">
        <v>2021</v>
      </c>
      <c r="D49" s="56">
        <v>2022</v>
      </c>
      <c r="E49" s="56">
        <v>2023</v>
      </c>
      <c r="F49" s="334"/>
    </row>
    <row r="50" spans="1:6" ht="15" customHeight="1" x14ac:dyDescent="0.35">
      <c r="A50" s="137" t="str">
        <f ca="1">Translations!$A$23</f>
        <v>Estimation des besoins actuels du pays</v>
      </c>
      <c r="B50" s="143"/>
      <c r="C50" s="143"/>
      <c r="D50" s="143"/>
      <c r="E50" s="143"/>
      <c r="F50" s="144"/>
    </row>
    <row r="51" spans="1:6" ht="142.5" customHeight="1" x14ac:dyDescent="0.35">
      <c r="A51" s="140" t="str">
        <f ca="1">Translations!$A$24</f>
        <v>A. Estimation du total des populations dans le besoin/à risque (Prévention VIH)</v>
      </c>
      <c r="B51" s="141" t="s">
        <v>7</v>
      </c>
      <c r="C51" s="230">
        <f>418*50%+10039*50%</f>
        <v>5228.5</v>
      </c>
      <c r="D51" s="230">
        <f>C51*102.6%</f>
        <v>5364.4409999999998</v>
      </c>
      <c r="E51" s="230">
        <f>D51*102.6%</f>
        <v>5503.9164659999997</v>
      </c>
      <c r="F51" s="291" t="s">
        <v>1160</v>
      </c>
    </row>
    <row r="52" spans="1:6" ht="77.5" customHeight="1" x14ac:dyDescent="0.35">
      <c r="A52" s="318" t="str">
        <f ca="1">Translations!$A$25</f>
        <v>B. Cibles du pays
(à partir du plan stratégique national)</v>
      </c>
      <c r="B52" s="142" t="s">
        <v>7</v>
      </c>
      <c r="C52" s="294">
        <v>130</v>
      </c>
      <c r="D52" s="294">
        <v>370</v>
      </c>
      <c r="E52" s="294">
        <v>610</v>
      </c>
      <c r="F52" s="340" t="s">
        <v>1161</v>
      </c>
    </row>
    <row r="53" spans="1:6" ht="66" customHeight="1" x14ac:dyDescent="0.35">
      <c r="A53" s="319"/>
      <c r="B53" s="142" t="s">
        <v>15</v>
      </c>
      <c r="C53" s="62">
        <f>IF(C52=0,"",+C52/C51)</f>
        <v>2.486372764655255E-2</v>
      </c>
      <c r="D53" s="62">
        <f t="shared" ref="D53:E53" si="1">IF(D52=0,"",+D52/D51)</f>
        <v>6.8972703772862826E-2</v>
      </c>
      <c r="E53" s="62">
        <f t="shared" si="1"/>
        <v>0.11083017043740141</v>
      </c>
      <c r="F53" s="341"/>
    </row>
    <row r="54" spans="1:6" ht="15" customHeight="1" x14ac:dyDescent="0.35">
      <c r="A54" s="137" t="str">
        <f ca="1">Translations!$A$26</f>
        <v>Besoins du pays déjà couverts</v>
      </c>
      <c r="B54" s="143"/>
      <c r="C54" s="143"/>
      <c r="D54" s="143"/>
      <c r="E54" s="143"/>
      <c r="F54" s="144"/>
    </row>
    <row r="55" spans="1:6" ht="30.75" customHeight="1" x14ac:dyDescent="0.35">
      <c r="A55" s="318" t="str">
        <f ca="1">Translations!$A$27</f>
        <v>C1. Besoins du pays devant être couverts par des ressources nationales</v>
      </c>
      <c r="B55" s="141" t="s">
        <v>7</v>
      </c>
      <c r="C55" s="290">
        <f>C52*30%</f>
        <v>39</v>
      </c>
      <c r="D55" s="290">
        <f t="shared" ref="D55:E55" si="2">D52*30%</f>
        <v>111</v>
      </c>
      <c r="E55" s="290">
        <f t="shared" si="2"/>
        <v>183</v>
      </c>
      <c r="F55" s="340" t="s">
        <v>1162</v>
      </c>
    </row>
    <row r="56" spans="1:6" ht="33" customHeight="1" x14ac:dyDescent="0.35">
      <c r="A56" s="319"/>
      <c r="B56" s="141" t="s">
        <v>15</v>
      </c>
      <c r="C56" s="62">
        <f>IF(C55=0,"",+C55/C51)</f>
        <v>7.4591182939657647E-3</v>
      </c>
      <c r="D56" s="62">
        <f t="shared" ref="D56:E56" si="3">IF(D55=0,"",+D55/D51)</f>
        <v>2.0691811131858848E-2</v>
      </c>
      <c r="E56" s="62">
        <f t="shared" si="3"/>
        <v>3.3249051131220425E-2</v>
      </c>
      <c r="F56" s="341"/>
    </row>
    <row r="57" spans="1:6" ht="35.25" customHeight="1" x14ac:dyDescent="0.35">
      <c r="A57" s="318" t="str">
        <f ca="1">Translations!$A$28</f>
        <v>C2. Besoins du pays devant être couverts par des ressources extérieures</v>
      </c>
      <c r="B57" s="142" t="s">
        <v>7</v>
      </c>
      <c r="C57" s="290">
        <v>0</v>
      </c>
      <c r="D57" s="290">
        <v>0</v>
      </c>
      <c r="E57" s="290">
        <v>0</v>
      </c>
      <c r="F57" s="292" t="s">
        <v>1163</v>
      </c>
    </row>
    <row r="58" spans="1:6" ht="30" customHeight="1" x14ac:dyDescent="0.35">
      <c r="A58" s="319"/>
      <c r="B58" s="142" t="s">
        <v>15</v>
      </c>
      <c r="C58" s="62" t="str">
        <f>IF(C57=0,"",+C57/C51)</f>
        <v/>
      </c>
      <c r="D58" s="62" t="str">
        <f>IF(D57=0,"",+D57/D51)</f>
        <v/>
      </c>
      <c r="E58" s="62" t="str">
        <f>IF(E57=0,"",+E57/E51)</f>
        <v/>
      </c>
      <c r="F58" s="61"/>
    </row>
    <row r="59" spans="1:6" ht="30.75" customHeight="1" x14ac:dyDescent="0.35">
      <c r="A59" s="318" t="str">
        <f ca="1">Translations!$A$29</f>
        <v>C3. Total des besoins du pays déjà couverts</v>
      </c>
      <c r="B59" s="142" t="s">
        <v>7</v>
      </c>
      <c r="C59" s="63">
        <f>+C55+C57</f>
        <v>39</v>
      </c>
      <c r="D59" s="63">
        <f>+D55+D57</f>
        <v>111</v>
      </c>
      <c r="E59" s="63">
        <f>+E55+E57</f>
        <v>183</v>
      </c>
      <c r="F59" s="61"/>
    </row>
    <row r="60" spans="1:6" ht="30.75" customHeight="1" x14ac:dyDescent="0.35">
      <c r="A60" s="319"/>
      <c r="B60" s="142" t="s">
        <v>15</v>
      </c>
      <c r="C60" s="62">
        <f>IF(C59=0,"",+C59/C51)</f>
        <v>7.4591182939657647E-3</v>
      </c>
      <c r="D60" s="62">
        <f>IF(D59=0,"",+D59/D51)</f>
        <v>2.0691811131858848E-2</v>
      </c>
      <c r="E60" s="62">
        <f>IF(E59=0,"",+E59/E51)</f>
        <v>3.3249051131220425E-2</v>
      </c>
      <c r="F60" s="61"/>
    </row>
    <row r="61" spans="1:6" x14ac:dyDescent="0.35">
      <c r="A61" s="137" t="str">
        <f ca="1">Translations!$A$30</f>
        <v>Déficit programmatique</v>
      </c>
      <c r="B61" s="143"/>
      <c r="C61" s="143"/>
      <c r="D61" s="143"/>
      <c r="E61" s="143"/>
      <c r="F61" s="144"/>
    </row>
    <row r="62" spans="1:6" ht="42" customHeight="1" x14ac:dyDescent="0.35">
      <c r="A62" s="335" t="str">
        <f ca="1">Translations!$A$31</f>
        <v>D. Déficit annuel attendu par rapport aux besoins : A - C3</v>
      </c>
      <c r="B62" s="141" t="s">
        <v>7</v>
      </c>
      <c r="C62" s="64">
        <f>+C51-(C59)</f>
        <v>5189.5</v>
      </c>
      <c r="D62" s="64">
        <f>+D51-(D59)</f>
        <v>5253.4409999999998</v>
      </c>
      <c r="E62" s="64">
        <f>+E51-(E59)</f>
        <v>5320.9164659999997</v>
      </c>
      <c r="F62" s="343"/>
    </row>
    <row r="63" spans="1:6" ht="42" customHeight="1" x14ac:dyDescent="0.35">
      <c r="A63" s="336"/>
      <c r="B63" s="141" t="s">
        <v>15</v>
      </c>
      <c r="C63" s="62">
        <f>IF(C62=0,"",+C62/C51)</f>
        <v>0.99254088170603427</v>
      </c>
      <c r="D63" s="62">
        <f>IF(D62=0,"",+D62/D51)</f>
        <v>0.97930818886814119</v>
      </c>
      <c r="E63" s="62">
        <f>IF(E62=0,"",+E62/E51)</f>
        <v>0.96675094886877955</v>
      </c>
      <c r="F63" s="344"/>
    </row>
    <row r="64" spans="1:6" ht="15" customHeight="1" x14ac:dyDescent="0.35">
      <c r="A64" s="145" t="str">
        <f ca="1">Translations!$A$32</f>
        <v>Besoins du pays couverts par la somme allouée</v>
      </c>
      <c r="B64" s="143"/>
      <c r="C64" s="143"/>
      <c r="D64" s="143"/>
      <c r="E64" s="143"/>
      <c r="F64" s="144"/>
    </row>
    <row r="65" spans="1:6" ht="42" customHeight="1" x14ac:dyDescent="0.35">
      <c r="A65" s="335" t="str">
        <f ca="1">Translations!$A$33</f>
        <v>E. Cibles devant être financées par la somme allouée</v>
      </c>
      <c r="B65" s="142" t="s">
        <v>7</v>
      </c>
      <c r="C65" s="290">
        <f>+C52-C55-C57</f>
        <v>91</v>
      </c>
      <c r="D65" s="290">
        <f t="shared" ref="D65:E65" si="4">+D52-D55-D57</f>
        <v>259</v>
      </c>
      <c r="E65" s="290">
        <f t="shared" si="4"/>
        <v>427</v>
      </c>
      <c r="F65" s="340" t="s">
        <v>1164</v>
      </c>
    </row>
    <row r="66" spans="1:6" ht="42" customHeight="1" x14ac:dyDescent="0.35">
      <c r="A66" s="336"/>
      <c r="B66" s="142" t="s">
        <v>15</v>
      </c>
      <c r="C66" s="62">
        <f>IF(C65=0,"",+C65/C51)</f>
        <v>1.7404609352586784E-2</v>
      </c>
      <c r="D66" s="62">
        <f>IF(D65=0,"",+D65/D51)</f>
        <v>4.8280892641003978E-2</v>
      </c>
      <c r="E66" s="62">
        <f>IF(E65=0,"",+E65/E51)</f>
        <v>7.7581119306180987E-2</v>
      </c>
      <c r="F66" s="341"/>
    </row>
    <row r="67" spans="1:6" ht="42" customHeight="1" x14ac:dyDescent="0.35">
      <c r="A67" s="335" t="str">
        <f ca="1">Translations!$A$34</f>
        <v>F. Couverture par la somme allouée et d'autres ressources : E + C3</v>
      </c>
      <c r="B67" s="142" t="s">
        <v>7</v>
      </c>
      <c r="C67" s="64">
        <f>+C65+C59</f>
        <v>130</v>
      </c>
      <c r="D67" s="64">
        <f>+D65+D59</f>
        <v>370</v>
      </c>
      <c r="E67" s="64">
        <f>+E65+E59</f>
        <v>610</v>
      </c>
      <c r="F67" s="343"/>
    </row>
    <row r="68" spans="1:6" ht="42" customHeight="1" x14ac:dyDescent="0.35">
      <c r="A68" s="336"/>
      <c r="B68" s="142" t="s">
        <v>15</v>
      </c>
      <c r="C68" s="62">
        <f>IF(C67=0,"",+C67/C51)</f>
        <v>2.486372764655255E-2</v>
      </c>
      <c r="D68" s="62">
        <f>IF(D67=0,"",+D67/D51)</f>
        <v>6.8972703772862826E-2</v>
      </c>
      <c r="E68" s="62">
        <f>IF(E67=0,"",+E67/E51)</f>
        <v>0.11083017043740141</v>
      </c>
      <c r="F68" s="344"/>
    </row>
    <row r="69" spans="1:6" ht="42" customHeight="1" x14ac:dyDescent="0.35">
      <c r="A69" s="335" t="str">
        <f ca="1">Translations!$A$35</f>
        <v xml:space="preserve">G. Déficit restant : A - F </v>
      </c>
      <c r="B69" s="142" t="s">
        <v>7</v>
      </c>
      <c r="C69" s="64">
        <f>+C51-(C67)</f>
        <v>5098.5</v>
      </c>
      <c r="D69" s="64">
        <f>+D51-(D67)</f>
        <v>4994.4409999999998</v>
      </c>
      <c r="E69" s="64">
        <f>+E51-(E67)</f>
        <v>4893.9164659999997</v>
      </c>
      <c r="F69" s="343"/>
    </row>
    <row r="70" spans="1:6" ht="42" customHeight="1" thickBot="1" x14ac:dyDescent="0.4">
      <c r="A70" s="342"/>
      <c r="B70" s="142" t="s">
        <v>15</v>
      </c>
      <c r="C70" s="62">
        <f>IF(C69=0,"",+C69/C51)</f>
        <v>0.97513627235344746</v>
      </c>
      <c r="D70" s="62">
        <f>IF(D69=0,"",+D69/D51)</f>
        <v>0.9310272962271372</v>
      </c>
      <c r="E70" s="62">
        <f>IF(E69=0,"",+E69/E51)</f>
        <v>0.8891698295625986</v>
      </c>
      <c r="F70" s="344"/>
    </row>
    <row r="71" spans="1:6" x14ac:dyDescent="0.35">
      <c r="A71" s="146"/>
      <c r="B71" s="146"/>
      <c r="C71" s="146"/>
      <c r="D71" s="146"/>
      <c r="E71" s="146"/>
      <c r="F71" s="146"/>
    </row>
    <row r="72" spans="1:6" ht="15" thickBot="1" x14ac:dyDescent="0.4">
      <c r="A72" s="146"/>
      <c r="B72" s="146"/>
      <c r="C72" s="146"/>
      <c r="D72" s="146"/>
      <c r="E72" s="146"/>
      <c r="F72" s="146"/>
    </row>
    <row r="73" spans="1:6" ht="18.5" thickBot="1" x14ac:dyDescent="0.4">
      <c r="A73" s="117" t="str">
        <f ca="1">Translations!$A$3</f>
        <v>VIH/sida</v>
      </c>
      <c r="B73" s="118"/>
      <c r="C73" s="118"/>
      <c r="D73" s="118"/>
      <c r="E73" s="118"/>
      <c r="F73" s="119"/>
    </row>
    <row r="74" spans="1:6" ht="14.25" customHeight="1" x14ac:dyDescent="0.35">
      <c r="A74" s="120" t="str">
        <f ca="1">Translations!$A$6</f>
        <v>Tableau 3 des déficits programmatiques pour le VIH/sida (par intervention prioritaire)</v>
      </c>
      <c r="B74" s="121"/>
      <c r="C74" s="121"/>
      <c r="D74" s="121"/>
      <c r="E74" s="122"/>
      <c r="F74" s="123"/>
    </row>
    <row r="75" spans="1:6" ht="30" customHeight="1" x14ac:dyDescent="0.35">
      <c r="A75" s="124" t="str">
        <f ca="1">Translations!$A$10</f>
        <v>Module prioritaire</v>
      </c>
      <c r="B75" s="326" t="s">
        <v>1165</v>
      </c>
      <c r="C75" s="327"/>
      <c r="D75" s="327"/>
      <c r="E75" s="327"/>
      <c r="F75" s="328"/>
    </row>
    <row r="76" spans="1:6" ht="30" customHeight="1" x14ac:dyDescent="0.35">
      <c r="A76" s="124" t="str">
        <f ca="1">Translations!$A$11</f>
        <v>Indicateur de couverture sélectionné</v>
      </c>
      <c r="B76" s="320" t="str">
        <f ca="1">VLOOKUP(B75,HIVModulesIndicators,2,FALSE)</f>
        <v>Pourcentage de femmes enceintes séropositives au VIH ayant reçu des antirétroviraux durant leur grossesse</v>
      </c>
      <c r="C76" s="321"/>
      <c r="D76" s="321"/>
      <c r="E76" s="321"/>
      <c r="F76" s="322"/>
    </row>
    <row r="77" spans="1:6" ht="30" customHeight="1" thickBot="1" x14ac:dyDescent="0.4">
      <c r="A77" s="125" t="str">
        <f ca="1">Translations!$A$12</f>
        <v>Population cible</v>
      </c>
      <c r="B77" s="323" t="s">
        <v>1198</v>
      </c>
      <c r="C77" s="324"/>
      <c r="D77" s="324"/>
      <c r="E77" s="324"/>
      <c r="F77" s="325"/>
    </row>
    <row r="78" spans="1:6" x14ac:dyDescent="0.35">
      <c r="A78" s="126" t="str">
        <f ca="1">Translations!$A$13</f>
        <v>Couverture nationale actuelle</v>
      </c>
      <c r="B78" s="127"/>
      <c r="C78" s="127"/>
      <c r="D78" s="127"/>
      <c r="E78" s="127"/>
      <c r="F78" s="128"/>
    </row>
    <row r="79" spans="1:6" ht="33" customHeight="1" x14ac:dyDescent="0.35">
      <c r="A79" s="129" t="str">
        <f ca="1">Translations!$A$14</f>
        <v>Indiquez les résultats les plus récents</v>
      </c>
      <c r="B79" s="293">
        <v>0.79</v>
      </c>
      <c r="C79" s="130" t="str">
        <f ca="1">Translations!$A$15</f>
        <v>Année</v>
      </c>
      <c r="D79" s="53">
        <v>2019</v>
      </c>
      <c r="E79" s="131" t="str">
        <f ca="1">Translations!$A$16</f>
        <v>Source des données</v>
      </c>
      <c r="F79" s="53" t="s">
        <v>1166</v>
      </c>
    </row>
    <row r="80" spans="1:6" ht="30" customHeight="1" thickBot="1" x14ac:dyDescent="0.4">
      <c r="A80" s="132" t="str">
        <f ca="1">Translations!$A$17</f>
        <v>Observations</v>
      </c>
      <c r="B80" s="323" t="s">
        <v>1198</v>
      </c>
      <c r="C80" s="324"/>
      <c r="D80" s="324"/>
      <c r="E80" s="324"/>
      <c r="F80" s="325"/>
    </row>
    <row r="81" spans="1:6" ht="15" thickBot="1" x14ac:dyDescent="0.4">
      <c r="A81" s="133"/>
      <c r="B81" s="134"/>
      <c r="C81" s="134"/>
      <c r="D81" s="134"/>
      <c r="E81" s="134"/>
      <c r="F81" s="135"/>
    </row>
    <row r="82" spans="1:6" x14ac:dyDescent="0.35">
      <c r="A82" s="329"/>
      <c r="B82" s="330"/>
      <c r="C82" s="136" t="str">
        <f ca="1">Translations!$A$18</f>
        <v>Année 1</v>
      </c>
      <c r="D82" s="136" t="str">
        <f ca="1">Translations!$A$19</f>
        <v>Année 2</v>
      </c>
      <c r="E82" s="136" t="str">
        <f ca="1">Translations!$A$20</f>
        <v>Année 3</v>
      </c>
      <c r="F82" s="333" t="str">
        <f ca="1">Translations!$A$22</f>
        <v>Observations/Hypothèses</v>
      </c>
    </row>
    <row r="83" spans="1:6" ht="39" customHeight="1" x14ac:dyDescent="0.35">
      <c r="A83" s="331"/>
      <c r="B83" s="332"/>
      <c r="C83" s="56">
        <v>2021</v>
      </c>
      <c r="D83" s="56">
        <v>2022</v>
      </c>
      <c r="E83" s="56">
        <v>2023</v>
      </c>
      <c r="F83" s="334"/>
    </row>
    <row r="84" spans="1:6" ht="15" customHeight="1" x14ac:dyDescent="0.35">
      <c r="A84" s="137" t="str">
        <f ca="1">Translations!$A$23</f>
        <v>Estimation des besoins actuels du pays</v>
      </c>
      <c r="B84" s="143"/>
      <c r="C84" s="143"/>
      <c r="D84" s="143"/>
      <c r="E84" s="143"/>
      <c r="F84" s="144"/>
    </row>
    <row r="85" spans="1:6" ht="60" customHeight="1" x14ac:dyDescent="0.35">
      <c r="A85" s="140" t="str">
        <f ca="1">Translations!$A$24</f>
        <v>A. Estimation du total des populations dans le besoin/à risque (Prévention VIH)</v>
      </c>
      <c r="B85" s="141" t="s">
        <v>7</v>
      </c>
      <c r="C85" s="230">
        <v>17345</v>
      </c>
      <c r="D85" s="230">
        <v>16595</v>
      </c>
      <c r="E85" s="230">
        <v>15827</v>
      </c>
      <c r="F85" s="291" t="s">
        <v>1168</v>
      </c>
    </row>
    <row r="86" spans="1:6" ht="52.5" customHeight="1" x14ac:dyDescent="0.35">
      <c r="A86" s="318" t="str">
        <f ca="1">Translations!$A$25</f>
        <v>B. Cibles du pays
(à partir du plan stratégique national)</v>
      </c>
      <c r="B86" s="142" t="s">
        <v>7</v>
      </c>
      <c r="C86" s="230">
        <f>C85*85%</f>
        <v>14743.25</v>
      </c>
      <c r="D86" s="230">
        <f>D85*87%</f>
        <v>14437.65</v>
      </c>
      <c r="E86" s="230">
        <f>E85*90%</f>
        <v>14244.300000000001</v>
      </c>
      <c r="F86" s="340" t="s">
        <v>1167</v>
      </c>
    </row>
    <row r="87" spans="1:6" ht="70.5" customHeight="1" x14ac:dyDescent="0.35">
      <c r="A87" s="319"/>
      <c r="B87" s="142" t="s">
        <v>15</v>
      </c>
      <c r="C87" s="62">
        <f>IF(C86=0,"",+C86/C85)</f>
        <v>0.85</v>
      </c>
      <c r="D87" s="62">
        <f t="shared" ref="D87:E87" si="5">IF(D86=0,"",+D86/D85)</f>
        <v>0.87</v>
      </c>
      <c r="E87" s="62">
        <f t="shared" si="5"/>
        <v>0.9</v>
      </c>
      <c r="F87" s="341"/>
    </row>
    <row r="88" spans="1:6" ht="40.5" customHeight="1" x14ac:dyDescent="0.35">
      <c r="A88" s="137" t="str">
        <f ca="1">Translations!$A$26</f>
        <v>Besoins du pays déjà couverts</v>
      </c>
      <c r="B88" s="138"/>
      <c r="C88" s="138"/>
      <c r="D88" s="138"/>
      <c r="E88" s="138"/>
      <c r="F88" s="139"/>
    </row>
    <row r="89" spans="1:6" ht="42" customHeight="1" x14ac:dyDescent="0.35">
      <c r="A89" s="318" t="str">
        <f ca="1">Translations!$A$27</f>
        <v>C1. Besoins du pays devant être couverts par des ressources nationales</v>
      </c>
      <c r="B89" s="141" t="s">
        <v>7</v>
      </c>
      <c r="C89" s="290">
        <f>+C86*40%</f>
        <v>5897.3</v>
      </c>
      <c r="D89" s="290">
        <f>+D86*44%</f>
        <v>6352.5659999999998</v>
      </c>
      <c r="E89" s="290">
        <f>+E86*48.4%</f>
        <v>6894.2412000000004</v>
      </c>
      <c r="F89" s="340" t="s">
        <v>1169</v>
      </c>
    </row>
    <row r="90" spans="1:6" ht="42" customHeight="1" x14ac:dyDescent="0.35">
      <c r="A90" s="319"/>
      <c r="B90" s="141" t="s">
        <v>15</v>
      </c>
      <c r="C90" s="62">
        <f>IF(C89=0,"",+C89/C85)</f>
        <v>0.34</v>
      </c>
      <c r="D90" s="62">
        <f t="shared" ref="D90:E90" si="6">IF(D89=0,"",+D89/D85)</f>
        <v>0.38279999999999997</v>
      </c>
      <c r="E90" s="62">
        <f t="shared" si="6"/>
        <v>0.43560000000000004</v>
      </c>
      <c r="F90" s="341"/>
    </row>
    <row r="91" spans="1:6" ht="42" customHeight="1" x14ac:dyDescent="0.35">
      <c r="A91" s="318" t="str">
        <f ca="1">Translations!$A$28</f>
        <v>C2. Besoins du pays devant être couverts par des ressources extérieures</v>
      </c>
      <c r="B91" s="142" t="s">
        <v>7</v>
      </c>
      <c r="C91" s="290">
        <f>+C85*40%</f>
        <v>6938</v>
      </c>
      <c r="D91" s="290">
        <f>+D85*30%</f>
        <v>4978.5</v>
      </c>
      <c r="E91" s="290">
        <f>+E85*20%</f>
        <v>3165.4</v>
      </c>
      <c r="F91" s="292" t="s">
        <v>1170</v>
      </c>
    </row>
    <row r="92" spans="1:6" ht="42" customHeight="1" x14ac:dyDescent="0.35">
      <c r="A92" s="319"/>
      <c r="B92" s="142" t="s">
        <v>15</v>
      </c>
      <c r="C92" s="62">
        <f>IF(C91=0,"",+C91/C85)</f>
        <v>0.4</v>
      </c>
      <c r="D92" s="62">
        <f>IF(D91=0,"",+D91/D85)</f>
        <v>0.3</v>
      </c>
      <c r="E92" s="62">
        <f>IF(E91=0,"",+E91/E85)</f>
        <v>0.2</v>
      </c>
      <c r="F92" s="61"/>
    </row>
    <row r="93" spans="1:6" ht="42" customHeight="1" x14ac:dyDescent="0.35">
      <c r="A93" s="318" t="str">
        <f ca="1">Translations!$A$29</f>
        <v>C3. Total des besoins du pays déjà couverts</v>
      </c>
      <c r="B93" s="142" t="s">
        <v>7</v>
      </c>
      <c r="C93" s="63">
        <f>+C89+C91</f>
        <v>12835.3</v>
      </c>
      <c r="D93" s="63">
        <f>+D89+D91</f>
        <v>11331.065999999999</v>
      </c>
      <c r="E93" s="63">
        <f>+E89+E91</f>
        <v>10059.6412</v>
      </c>
      <c r="F93" s="61"/>
    </row>
    <row r="94" spans="1:6" ht="42" customHeight="1" x14ac:dyDescent="0.35">
      <c r="A94" s="319"/>
      <c r="B94" s="142" t="s">
        <v>15</v>
      </c>
      <c r="C94" s="62">
        <f>IF(C93=0,"",+C93/C85)</f>
        <v>0.74</v>
      </c>
      <c r="D94" s="62">
        <f>IF(D93=0,"",+D93/D85)</f>
        <v>0.68279999999999996</v>
      </c>
      <c r="E94" s="62">
        <f>IF(E93=0,"",+E93/E85)</f>
        <v>0.63560000000000005</v>
      </c>
      <c r="F94" s="61"/>
    </row>
    <row r="95" spans="1:6" x14ac:dyDescent="0.35">
      <c r="A95" s="137" t="str">
        <f ca="1">Translations!$A$30</f>
        <v>Déficit programmatique</v>
      </c>
      <c r="B95" s="143"/>
      <c r="C95" s="143"/>
      <c r="D95" s="143"/>
      <c r="E95" s="143"/>
      <c r="F95" s="144"/>
    </row>
    <row r="96" spans="1:6" ht="42" customHeight="1" x14ac:dyDescent="0.35">
      <c r="A96" s="335" t="str">
        <f ca="1">Translations!$A$31</f>
        <v>D. Déficit annuel attendu par rapport aux besoins : A - C3</v>
      </c>
      <c r="B96" s="141" t="s">
        <v>7</v>
      </c>
      <c r="C96" s="64">
        <f>+C85-(C93)</f>
        <v>4509.7000000000007</v>
      </c>
      <c r="D96" s="64">
        <f>+D85-(D93)</f>
        <v>5263.9340000000011</v>
      </c>
      <c r="E96" s="64">
        <f>+E85-(E93)</f>
        <v>5767.3588</v>
      </c>
      <c r="F96" s="343"/>
    </row>
    <row r="97" spans="1:6" ht="42" customHeight="1" x14ac:dyDescent="0.35">
      <c r="A97" s="336"/>
      <c r="B97" s="141" t="s">
        <v>15</v>
      </c>
      <c r="C97" s="62">
        <f>IF(C96=0,"",+C96/C85)</f>
        <v>0.26000000000000006</v>
      </c>
      <c r="D97" s="62">
        <f>IF(D96=0,"",+D96/D85)</f>
        <v>0.31720000000000009</v>
      </c>
      <c r="E97" s="62">
        <f>IF(E96=0,"",+E96/E85)</f>
        <v>0.3644</v>
      </c>
      <c r="F97" s="344"/>
    </row>
    <row r="98" spans="1:6" ht="15" customHeight="1" x14ac:dyDescent="0.35">
      <c r="A98" s="145" t="str">
        <f ca="1">Translations!$A$32</f>
        <v>Besoins du pays couverts par la somme allouée</v>
      </c>
      <c r="B98" s="143"/>
      <c r="C98" s="143"/>
      <c r="D98" s="143"/>
      <c r="E98" s="143"/>
      <c r="F98" s="144"/>
    </row>
    <row r="99" spans="1:6" ht="42" customHeight="1" x14ac:dyDescent="0.35">
      <c r="A99" s="335" t="str">
        <f ca="1">Translations!$A$33</f>
        <v>E. Cibles devant être financées par la somme allouée</v>
      </c>
      <c r="B99" s="142" t="s">
        <v>7</v>
      </c>
      <c r="C99" s="290">
        <f>+C86-C89-C91</f>
        <v>1907.9500000000007</v>
      </c>
      <c r="D99" s="290">
        <f t="shared" ref="D99:E99" si="7">+D86-D89-D91</f>
        <v>3106.5839999999998</v>
      </c>
      <c r="E99" s="290">
        <f t="shared" si="7"/>
        <v>4184.6588000000011</v>
      </c>
      <c r="F99" s="340" t="s">
        <v>1171</v>
      </c>
    </row>
    <row r="100" spans="1:6" ht="42" customHeight="1" x14ac:dyDescent="0.35">
      <c r="A100" s="336"/>
      <c r="B100" s="142" t="s">
        <v>15</v>
      </c>
      <c r="C100" s="62">
        <f>IF(C99=0,"",+C99/C85)</f>
        <v>0.11000000000000004</v>
      </c>
      <c r="D100" s="62">
        <f>IF(D99=0,"",+D99/D85)</f>
        <v>0.18719999999999998</v>
      </c>
      <c r="E100" s="62">
        <f>IF(E99=0,"",+E99/E85)</f>
        <v>0.26440000000000008</v>
      </c>
      <c r="F100" s="341"/>
    </row>
    <row r="101" spans="1:6" ht="42" customHeight="1" x14ac:dyDescent="0.35">
      <c r="A101" s="335" t="str">
        <f ca="1">Translations!$A$34</f>
        <v>F. Couverture par la somme allouée et d'autres ressources : E + C3</v>
      </c>
      <c r="B101" s="142" t="s">
        <v>7</v>
      </c>
      <c r="C101" s="64">
        <f>+C99+C93</f>
        <v>14743.25</v>
      </c>
      <c r="D101" s="64">
        <f>+D99+D93</f>
        <v>14437.649999999998</v>
      </c>
      <c r="E101" s="64">
        <f>+E99+E93</f>
        <v>14244.300000000001</v>
      </c>
      <c r="F101" s="343"/>
    </row>
    <row r="102" spans="1:6" ht="42" customHeight="1" x14ac:dyDescent="0.35">
      <c r="A102" s="336"/>
      <c r="B102" s="142" t="s">
        <v>15</v>
      </c>
      <c r="C102" s="62">
        <f>IF(C101=0,"",+C101/C85)</f>
        <v>0.85</v>
      </c>
      <c r="D102" s="62">
        <f>IF(D101=0,"",+D101/D85)</f>
        <v>0.86999999999999988</v>
      </c>
      <c r="E102" s="62">
        <f>IF(E101=0,"",+E101/E85)</f>
        <v>0.9</v>
      </c>
      <c r="F102" s="344"/>
    </row>
    <row r="103" spans="1:6" ht="42" customHeight="1" x14ac:dyDescent="0.35">
      <c r="A103" s="335" t="str">
        <f ca="1">Translations!$A$35</f>
        <v xml:space="preserve">G. Déficit restant : A - F </v>
      </c>
      <c r="B103" s="142" t="s">
        <v>7</v>
      </c>
      <c r="C103" s="64">
        <f>+C85-(C101)</f>
        <v>2601.75</v>
      </c>
      <c r="D103" s="64">
        <f>+D85-(D101)</f>
        <v>2157.3500000000022</v>
      </c>
      <c r="E103" s="64">
        <f>+E85-(E101)</f>
        <v>1582.6999999999989</v>
      </c>
      <c r="F103" s="343"/>
    </row>
    <row r="104" spans="1:6" ht="42" customHeight="1" thickBot="1" x14ac:dyDescent="0.4">
      <c r="A104" s="342"/>
      <c r="B104" s="142" t="s">
        <v>15</v>
      </c>
      <c r="C104" s="62">
        <f>IF(C103=0,"",+C103/C85)</f>
        <v>0.15</v>
      </c>
      <c r="D104" s="62">
        <f>IF(D103=0,"",+D103/D85)</f>
        <v>0.13000000000000014</v>
      </c>
      <c r="E104" s="62">
        <f>IF(E103=0,"",+E103/E85)</f>
        <v>9.9999999999999936E-2</v>
      </c>
      <c r="F104" s="344"/>
    </row>
    <row r="105" spans="1:6" x14ac:dyDescent="0.35">
      <c r="A105" s="147"/>
      <c r="B105" s="148"/>
      <c r="C105" s="148"/>
      <c r="D105" s="148"/>
      <c r="E105" s="148"/>
      <c r="F105" s="149"/>
    </row>
    <row r="106" spans="1:6" ht="15" thickBot="1" x14ac:dyDescent="0.4">
      <c r="A106" s="147"/>
      <c r="B106" s="148"/>
      <c r="C106" s="148"/>
      <c r="D106" s="148"/>
      <c r="E106" s="148"/>
      <c r="F106" s="149"/>
    </row>
    <row r="107" spans="1:6" ht="18.5" thickBot="1" x14ac:dyDescent="0.4">
      <c r="A107" s="117" t="str">
        <f ca="1">Translations!$A$3</f>
        <v>VIH/sida</v>
      </c>
      <c r="B107" s="118"/>
      <c r="C107" s="118"/>
      <c r="D107" s="118"/>
      <c r="E107" s="118"/>
      <c r="F107" s="119"/>
    </row>
    <row r="108" spans="1:6" ht="14.25" customHeight="1" x14ac:dyDescent="0.35">
      <c r="A108" s="120" t="str">
        <f ca="1">Translations!$A$7</f>
        <v>Tableau 4 des déficits programmatiques pour le VIH/sida (par intervention prioritaire)</v>
      </c>
      <c r="B108" s="121"/>
      <c r="C108" s="121"/>
      <c r="D108" s="121"/>
      <c r="E108" s="122"/>
      <c r="F108" s="123"/>
    </row>
    <row r="109" spans="1:6" ht="30" customHeight="1" x14ac:dyDescent="0.35">
      <c r="A109" s="124" t="str">
        <f ca="1">Translations!$A$10</f>
        <v>Module prioritaire</v>
      </c>
      <c r="B109" s="326" t="s">
        <v>777</v>
      </c>
      <c r="C109" s="327"/>
      <c r="D109" s="327"/>
      <c r="E109" s="327"/>
      <c r="F109" s="328"/>
    </row>
    <row r="110" spans="1:6" ht="30" customHeight="1" x14ac:dyDescent="0.35">
      <c r="A110" s="124" t="str">
        <f ca="1">Translations!$A$11</f>
        <v>Indicateur de couverture sélectionné</v>
      </c>
      <c r="B110" s="320" t="str">
        <f ca="1">VLOOKUP(B109,HIVModulesIndicators,2,FALSE)</f>
        <v xml:space="preserve">Pourcentage de personnes appartenant aux populations clés, qui ont effectué un test de dépistage du VIH pendant la période de communication de l'information et qui en connaissent le résultat </v>
      </c>
      <c r="C110" s="321"/>
      <c r="D110" s="321"/>
      <c r="E110" s="321"/>
      <c r="F110" s="322"/>
    </row>
    <row r="111" spans="1:6" ht="30" customHeight="1" x14ac:dyDescent="0.35">
      <c r="A111" s="125" t="str">
        <f ca="1">Translations!$A$12</f>
        <v>Population cible</v>
      </c>
      <c r="B111" s="337" t="s">
        <v>1172</v>
      </c>
      <c r="C111" s="338"/>
      <c r="D111" s="338"/>
      <c r="E111" s="338"/>
      <c r="F111" s="339"/>
    </row>
    <row r="112" spans="1:6" x14ac:dyDescent="0.35">
      <c r="A112" s="126" t="str">
        <f ca="1">Translations!$A$13</f>
        <v>Couverture nationale actuelle</v>
      </c>
      <c r="B112" s="127"/>
      <c r="C112" s="127"/>
      <c r="D112" s="127"/>
      <c r="E112" s="127"/>
      <c r="F112" s="128"/>
    </row>
    <row r="113" spans="1:6" ht="28.5" customHeight="1" x14ac:dyDescent="0.35">
      <c r="A113" s="129" t="str">
        <f ca="1">Translations!$A$14</f>
        <v>Indiquez les résultats les plus récents</v>
      </c>
      <c r="B113" s="289">
        <v>0.77200000000000002</v>
      </c>
      <c r="C113" s="130" t="str">
        <f ca="1">Translations!$A$15</f>
        <v>Année</v>
      </c>
      <c r="D113" s="53">
        <v>2019</v>
      </c>
      <c r="E113" s="131" t="str">
        <f ca="1">Translations!$A$16</f>
        <v>Source des données</v>
      </c>
      <c r="F113" s="53" t="s">
        <v>1166</v>
      </c>
    </row>
    <row r="114" spans="1:6" ht="30" customHeight="1" thickBot="1" x14ac:dyDescent="0.4">
      <c r="A114" s="132" t="str">
        <f ca="1">Translations!$A$17</f>
        <v>Observations</v>
      </c>
      <c r="B114" s="323"/>
      <c r="C114" s="324"/>
      <c r="D114" s="324"/>
      <c r="E114" s="324"/>
      <c r="F114" s="325"/>
    </row>
    <row r="115" spans="1:6" ht="15" thickBot="1" x14ac:dyDescent="0.4">
      <c r="A115" s="133"/>
      <c r="B115" s="134"/>
      <c r="C115" s="134"/>
      <c r="D115" s="134"/>
      <c r="E115" s="134"/>
      <c r="F115" s="135"/>
    </row>
    <row r="116" spans="1:6" x14ac:dyDescent="0.35">
      <c r="A116" s="329"/>
      <c r="B116" s="330"/>
      <c r="C116" s="136" t="str">
        <f ca="1">Translations!$A$18</f>
        <v>Année 1</v>
      </c>
      <c r="D116" s="136" t="str">
        <f ca="1">Translations!$A$19</f>
        <v>Année 2</v>
      </c>
      <c r="E116" s="136" t="str">
        <f ca="1">Translations!$A$20</f>
        <v>Année 3</v>
      </c>
      <c r="F116" s="333" t="str">
        <f ca="1">Translations!$A$22</f>
        <v>Observations/Hypothèses</v>
      </c>
    </row>
    <row r="117" spans="1:6" ht="33.75" customHeight="1" x14ac:dyDescent="0.35">
      <c r="A117" s="331"/>
      <c r="B117" s="332"/>
      <c r="C117" s="56">
        <v>2021</v>
      </c>
      <c r="D117" s="56">
        <v>2022</v>
      </c>
      <c r="E117" s="56">
        <v>2023</v>
      </c>
      <c r="F117" s="334"/>
    </row>
    <row r="118" spans="1:6" ht="15" customHeight="1" x14ac:dyDescent="0.35">
      <c r="A118" s="137" t="str">
        <f ca="1">Translations!$A$23</f>
        <v>Estimation des besoins actuels du pays</v>
      </c>
      <c r="B118" s="143"/>
      <c r="C118" s="143"/>
      <c r="D118" s="143"/>
      <c r="E118" s="143"/>
      <c r="F118" s="144"/>
    </row>
    <row r="119" spans="1:6" ht="59.25" customHeight="1" x14ac:dyDescent="0.35">
      <c r="A119" s="140" t="str">
        <f ca="1">Translations!$A$24</f>
        <v>A. Estimation du total des populations dans le besoin/à risque (Prévention VIH)</v>
      </c>
      <c r="B119" s="141" t="s">
        <v>7</v>
      </c>
      <c r="C119" s="290">
        <v>51164</v>
      </c>
      <c r="D119" s="290">
        <v>52494</v>
      </c>
      <c r="E119" s="290">
        <v>53859</v>
      </c>
      <c r="F119" s="291" t="s">
        <v>1173</v>
      </c>
    </row>
    <row r="120" spans="1:6" ht="60" customHeight="1" x14ac:dyDescent="0.35">
      <c r="A120" s="318" t="str">
        <f ca="1">Translations!$A$25</f>
        <v>B. Cibles du pays
(à partir du plan stratégique national)</v>
      </c>
      <c r="B120" s="142" t="s">
        <v>7</v>
      </c>
      <c r="C120" s="290">
        <f>C119*83%</f>
        <v>42466.119999999995</v>
      </c>
      <c r="D120" s="290">
        <f>D119*86%</f>
        <v>45144.84</v>
      </c>
      <c r="E120" s="290">
        <f>E119*89%</f>
        <v>47934.51</v>
      </c>
      <c r="F120" s="340" t="s">
        <v>1174</v>
      </c>
    </row>
    <row r="121" spans="1:6" ht="99" customHeight="1" x14ac:dyDescent="0.35">
      <c r="A121" s="319"/>
      <c r="B121" s="142" t="s">
        <v>15</v>
      </c>
      <c r="C121" s="62">
        <f>IF(C120=0,"",+C120/C119)</f>
        <v>0.83</v>
      </c>
      <c r="D121" s="62">
        <f t="shared" ref="D121:E121" si="8">IF(D120=0,"",+D120/D119)</f>
        <v>0.86</v>
      </c>
      <c r="E121" s="62">
        <f t="shared" si="8"/>
        <v>0.89</v>
      </c>
      <c r="F121" s="341"/>
    </row>
    <row r="122" spans="1:6" ht="15" customHeight="1" x14ac:dyDescent="0.35">
      <c r="A122" s="137" t="str">
        <f ca="1">Translations!$A$26</f>
        <v>Besoins du pays déjà couverts</v>
      </c>
      <c r="B122" s="143"/>
      <c r="C122" s="143"/>
      <c r="D122" s="143"/>
      <c r="E122" s="143"/>
      <c r="F122" s="144"/>
    </row>
    <row r="123" spans="1:6" ht="42" customHeight="1" x14ac:dyDescent="0.35">
      <c r="A123" s="318" t="str">
        <f ca="1">Translations!$A$27</f>
        <v>C1. Besoins du pays devant être couverts par des ressources nationales</v>
      </c>
      <c r="B123" s="141" t="s">
        <v>7</v>
      </c>
      <c r="C123" s="290">
        <f>+C120*5%</f>
        <v>2123.306</v>
      </c>
      <c r="D123" s="290">
        <f>+D120*7.5%</f>
        <v>3385.8629999999998</v>
      </c>
      <c r="E123" s="290">
        <f>+E120*10%</f>
        <v>4793.451</v>
      </c>
      <c r="F123" s="340" t="s">
        <v>1157</v>
      </c>
    </row>
    <row r="124" spans="1:6" ht="42" customHeight="1" x14ac:dyDescent="0.35">
      <c r="A124" s="319"/>
      <c r="B124" s="141" t="s">
        <v>15</v>
      </c>
      <c r="C124" s="62">
        <f>IF(C123=0,"",+C123/C119)</f>
        <v>4.1500000000000002E-2</v>
      </c>
      <c r="D124" s="62">
        <f t="shared" ref="D124:E124" si="9">IF(D123=0,"",+D123/D119)</f>
        <v>6.4500000000000002E-2</v>
      </c>
      <c r="E124" s="62">
        <f t="shared" si="9"/>
        <v>8.8999999999999996E-2</v>
      </c>
      <c r="F124" s="341"/>
    </row>
    <row r="125" spans="1:6" ht="42" customHeight="1" x14ac:dyDescent="0.35">
      <c r="A125" s="318" t="str">
        <f ca="1">Translations!$A$28</f>
        <v>C2. Besoins du pays devant être couverts par des ressources extérieures</v>
      </c>
      <c r="B125" s="142" t="s">
        <v>7</v>
      </c>
      <c r="C125" s="290">
        <v>25302</v>
      </c>
      <c r="D125" s="290">
        <v>25302</v>
      </c>
      <c r="E125" s="290">
        <v>25302</v>
      </c>
      <c r="F125" s="340" t="s">
        <v>1232</v>
      </c>
    </row>
    <row r="126" spans="1:6" ht="42" customHeight="1" x14ac:dyDescent="0.35">
      <c r="A126" s="319"/>
      <c r="B126" s="142" t="s">
        <v>15</v>
      </c>
      <c r="C126" s="62">
        <f>IF(C125=0,"",+C125/C119)</f>
        <v>0.49452740207958723</v>
      </c>
      <c r="D126" s="62">
        <f>IF(D125=0,"",+D125/D119)</f>
        <v>0.48199794262201395</v>
      </c>
      <c r="E126" s="62">
        <f>IF(E125=0,"",+E125/E119)</f>
        <v>0.46978220910154289</v>
      </c>
      <c r="F126" s="341"/>
    </row>
    <row r="127" spans="1:6" ht="42" customHeight="1" x14ac:dyDescent="0.35">
      <c r="A127" s="318" t="str">
        <f ca="1">Translations!$A$29</f>
        <v>C3. Total des besoins du pays déjà couverts</v>
      </c>
      <c r="B127" s="142" t="s">
        <v>7</v>
      </c>
      <c r="C127" s="63">
        <f>+C123+C125</f>
        <v>27425.306</v>
      </c>
      <c r="D127" s="63">
        <f>+D123+D125</f>
        <v>28687.863000000001</v>
      </c>
      <c r="E127" s="63">
        <f>+E123+E125</f>
        <v>30095.451000000001</v>
      </c>
      <c r="F127" s="61"/>
    </row>
    <row r="128" spans="1:6" ht="42" customHeight="1" x14ac:dyDescent="0.35">
      <c r="A128" s="319"/>
      <c r="B128" s="142" t="s">
        <v>15</v>
      </c>
      <c r="C128" s="62">
        <f>IF(C127=0,"",+C127/C119)</f>
        <v>0.53602740207958721</v>
      </c>
      <c r="D128" s="62">
        <f>IF(D127=0,"",+D127/D119)</f>
        <v>0.54649794262201401</v>
      </c>
      <c r="E128" s="62">
        <f>IF(E127=0,"",+E127/E119)</f>
        <v>0.55878220910154297</v>
      </c>
      <c r="F128" s="61"/>
    </row>
    <row r="129" spans="1:6" x14ac:dyDescent="0.35">
      <c r="A129" s="137" t="str">
        <f ca="1">Translations!$A$30</f>
        <v>Déficit programmatique</v>
      </c>
      <c r="B129" s="143"/>
      <c r="C129" s="143"/>
      <c r="D129" s="143"/>
      <c r="E129" s="143"/>
      <c r="F129" s="144"/>
    </row>
    <row r="130" spans="1:6" ht="42" customHeight="1" x14ac:dyDescent="0.35">
      <c r="A130" s="335" t="str">
        <f ca="1">Translations!$A$31</f>
        <v>D. Déficit annuel attendu par rapport aux besoins : A - C3</v>
      </c>
      <c r="B130" s="141" t="s">
        <v>7</v>
      </c>
      <c r="C130" s="64">
        <f>+C119-(C127)</f>
        <v>23738.694</v>
      </c>
      <c r="D130" s="64">
        <f>+D119-(D127)</f>
        <v>23806.136999999999</v>
      </c>
      <c r="E130" s="64">
        <f>+E119-(E127)</f>
        <v>23763.548999999999</v>
      </c>
      <c r="F130" s="343"/>
    </row>
    <row r="131" spans="1:6" ht="42" customHeight="1" x14ac:dyDescent="0.35">
      <c r="A131" s="336"/>
      <c r="B131" s="141" t="s">
        <v>15</v>
      </c>
      <c r="C131" s="62">
        <f>IF(C130=0,"",+C130/C119)</f>
        <v>0.46397259792041279</v>
      </c>
      <c r="D131" s="62">
        <f>IF(D130=0,"",+D130/D119)</f>
        <v>0.45350205737798605</v>
      </c>
      <c r="E131" s="62">
        <f>IF(E130=0,"",+E130/E119)</f>
        <v>0.44121779089845709</v>
      </c>
      <c r="F131" s="344"/>
    </row>
    <row r="132" spans="1:6" ht="15" customHeight="1" x14ac:dyDescent="0.35">
      <c r="A132" s="145" t="str">
        <f ca="1">Translations!$A$32</f>
        <v>Besoins du pays couverts par la somme allouée</v>
      </c>
      <c r="B132" s="143"/>
      <c r="C132" s="143"/>
      <c r="D132" s="143"/>
      <c r="E132" s="143"/>
      <c r="F132" s="144"/>
    </row>
    <row r="133" spans="1:6" ht="42" customHeight="1" x14ac:dyDescent="0.35">
      <c r="A133" s="335" t="str">
        <f ca="1">Translations!$A$33</f>
        <v>E. Cibles devant être financées par la somme allouée</v>
      </c>
      <c r="B133" s="142" t="s">
        <v>7</v>
      </c>
      <c r="C133" s="290">
        <f>15275*95%</f>
        <v>14511.25</v>
      </c>
      <c r="D133" s="290">
        <f>15672*95%</f>
        <v>14888.4</v>
      </c>
      <c r="E133" s="290">
        <f>16080*95%</f>
        <v>15276</v>
      </c>
      <c r="F133" s="340" t="s">
        <v>1234</v>
      </c>
    </row>
    <row r="134" spans="1:6" ht="42" customHeight="1" x14ac:dyDescent="0.35">
      <c r="A134" s="336"/>
      <c r="B134" s="142" t="s">
        <v>15</v>
      </c>
      <c r="C134" s="62">
        <f>IF(C133=0,"",+C133/C119)</f>
        <v>0.28362227347353608</v>
      </c>
      <c r="D134" s="62">
        <f>IF(D133=0,"",+D133/D119)</f>
        <v>0.28362098525545776</v>
      </c>
      <c r="E134" s="62">
        <f>IF(E133=0,"",+E133/E119)</f>
        <v>0.28362947696763774</v>
      </c>
      <c r="F134" s="341"/>
    </row>
    <row r="135" spans="1:6" ht="42" customHeight="1" x14ac:dyDescent="0.35">
      <c r="A135" s="335" t="str">
        <f ca="1">Translations!$A$34</f>
        <v>F. Couverture par la somme allouée et d'autres ressources : E + C3</v>
      </c>
      <c r="B135" s="142" t="s">
        <v>7</v>
      </c>
      <c r="C135" s="64">
        <f>+C133+C127</f>
        <v>41936.555999999997</v>
      </c>
      <c r="D135" s="64">
        <f>+D133+D127</f>
        <v>43576.262999999999</v>
      </c>
      <c r="E135" s="64">
        <f>+E133+E127</f>
        <v>45371.451000000001</v>
      </c>
      <c r="F135" s="343"/>
    </row>
    <row r="136" spans="1:6" ht="42" customHeight="1" x14ac:dyDescent="0.35">
      <c r="A136" s="336"/>
      <c r="B136" s="142" t="s">
        <v>15</v>
      </c>
      <c r="C136" s="62">
        <f>IF(C135=0,"",+C135/C119)</f>
        <v>0.81964967555312318</v>
      </c>
      <c r="D136" s="62">
        <f>IF(D135=0,"",+D135/D119)</f>
        <v>0.83011892787747166</v>
      </c>
      <c r="E136" s="62">
        <f>IF(E135=0,"",+E135/E119)</f>
        <v>0.84241168606918071</v>
      </c>
      <c r="F136" s="344"/>
    </row>
    <row r="137" spans="1:6" ht="42" customHeight="1" x14ac:dyDescent="0.35">
      <c r="A137" s="335" t="str">
        <f ca="1">Translations!$A$35</f>
        <v xml:space="preserve">G. Déficit restant : A - F </v>
      </c>
      <c r="B137" s="142" t="s">
        <v>7</v>
      </c>
      <c r="C137" s="64">
        <f>+C119-(C135)</f>
        <v>9227.4440000000031</v>
      </c>
      <c r="D137" s="64">
        <f>+D119-(D135)</f>
        <v>8917.737000000001</v>
      </c>
      <c r="E137" s="64">
        <f>+E119-(E135)</f>
        <v>8487.5489999999991</v>
      </c>
      <c r="F137" s="340" t="s">
        <v>1155</v>
      </c>
    </row>
    <row r="138" spans="1:6" ht="42" customHeight="1" thickBot="1" x14ac:dyDescent="0.4">
      <c r="A138" s="342"/>
      <c r="B138" s="142" t="s">
        <v>15</v>
      </c>
      <c r="C138" s="62">
        <f>IF(C137=0,"",+C137/C119)</f>
        <v>0.18035032444687676</v>
      </c>
      <c r="D138" s="62">
        <f>IF(D137=0,"",+D137/D119)</f>
        <v>0.16988107212252831</v>
      </c>
      <c r="E138" s="62">
        <f>IF(E137=0,"",+E137/E119)</f>
        <v>0.15758831393081935</v>
      </c>
      <c r="F138" s="341"/>
    </row>
    <row r="139" spans="1:6" x14ac:dyDescent="0.35">
      <c r="A139" s="146"/>
      <c r="B139" s="146"/>
      <c r="C139" s="146"/>
      <c r="D139" s="146"/>
      <c r="E139" s="146"/>
      <c r="F139" s="146"/>
    </row>
    <row r="140" spans="1:6" ht="15" thickBot="1" x14ac:dyDescent="0.4">
      <c r="A140" s="146"/>
      <c r="B140" s="146"/>
      <c r="C140" s="146"/>
      <c r="D140" s="146"/>
      <c r="E140" s="146"/>
      <c r="F140" s="146"/>
    </row>
    <row r="141" spans="1:6" ht="18.5" thickBot="1" x14ac:dyDescent="0.4">
      <c r="A141" s="117" t="str">
        <f ca="1">Translations!$A$3</f>
        <v>VIH/sida</v>
      </c>
      <c r="B141" s="118"/>
      <c r="C141" s="118"/>
      <c r="D141" s="118"/>
      <c r="E141" s="118"/>
      <c r="F141" s="119"/>
    </row>
    <row r="142" spans="1:6" ht="14.25" customHeight="1" x14ac:dyDescent="0.35">
      <c r="A142" s="120" t="str">
        <f ca="1">Translations!$A$8</f>
        <v>Tableau 5 des déficits programmatiques pour le VIH/sida (par intervention prioritaire)</v>
      </c>
      <c r="B142" s="121"/>
      <c r="C142" s="121"/>
      <c r="D142" s="121"/>
      <c r="E142" s="122"/>
      <c r="F142" s="123"/>
    </row>
    <row r="143" spans="1:6" ht="30" customHeight="1" x14ac:dyDescent="0.35">
      <c r="A143" s="124" t="str">
        <f ca="1">Translations!$A$10</f>
        <v>Module prioritaire</v>
      </c>
      <c r="B143" s="326" t="s">
        <v>871</v>
      </c>
      <c r="C143" s="327"/>
      <c r="D143" s="327"/>
      <c r="E143" s="327"/>
      <c r="F143" s="328"/>
    </row>
    <row r="144" spans="1:6" ht="30" customHeight="1" x14ac:dyDescent="0.35">
      <c r="A144" s="124" t="str">
        <f ca="1">Translations!$A$11</f>
        <v>Indicateur de couverture sélectionné</v>
      </c>
      <c r="B144" s="320" t="str">
        <f ca="1">VLOOKUP(B143,HIVModulesIndicators,2,FALSE)</f>
        <v>Pourcentage de personnes vivant avec le VIH bénéficiant actuellement d'un traitement antirétroviral</v>
      </c>
      <c r="C144" s="321"/>
      <c r="D144" s="321"/>
      <c r="E144" s="321"/>
      <c r="F144" s="322"/>
    </row>
    <row r="145" spans="1:6" ht="30" customHeight="1" x14ac:dyDescent="0.35">
      <c r="A145" s="125" t="str">
        <f ca="1">Translations!$A$12</f>
        <v>Population cible</v>
      </c>
      <c r="B145" s="337" t="s">
        <v>779</v>
      </c>
      <c r="C145" s="338"/>
      <c r="D145" s="338"/>
      <c r="E145" s="338"/>
      <c r="F145" s="339"/>
    </row>
    <row r="146" spans="1:6" x14ac:dyDescent="0.35">
      <c r="A146" s="126" t="str">
        <f ca="1">Translations!$A$13</f>
        <v>Couverture nationale actuelle</v>
      </c>
      <c r="B146" s="127"/>
      <c r="C146" s="127"/>
      <c r="D146" s="127"/>
      <c r="E146" s="127"/>
      <c r="F146" s="128"/>
    </row>
    <row r="147" spans="1:6" ht="29" x14ac:dyDescent="0.35">
      <c r="A147" s="129" t="str">
        <f ca="1">Translations!$A$14</f>
        <v>Indiquez les résultats les plus récents</v>
      </c>
      <c r="B147" s="293">
        <v>0.63</v>
      </c>
      <c r="C147" s="130" t="str">
        <f ca="1">Translations!$A$15</f>
        <v>Année</v>
      </c>
      <c r="D147" s="53">
        <v>2019</v>
      </c>
      <c r="E147" s="131" t="str">
        <f ca="1">Translations!$A$16</f>
        <v>Source des données</v>
      </c>
      <c r="F147" s="53" t="s">
        <v>1166</v>
      </c>
    </row>
    <row r="148" spans="1:6" ht="30" customHeight="1" thickBot="1" x14ac:dyDescent="0.4">
      <c r="A148" s="132" t="str">
        <f ca="1">Translations!$A$17</f>
        <v>Observations</v>
      </c>
      <c r="B148" s="323"/>
      <c r="C148" s="324"/>
      <c r="D148" s="324"/>
      <c r="E148" s="324"/>
      <c r="F148" s="325"/>
    </row>
    <row r="149" spans="1:6" ht="15" thickBot="1" x14ac:dyDescent="0.4">
      <c r="A149" s="133"/>
      <c r="B149" s="134"/>
      <c r="C149" s="134"/>
      <c r="D149" s="134"/>
      <c r="E149" s="134"/>
      <c r="F149" s="135"/>
    </row>
    <row r="150" spans="1:6" x14ac:dyDescent="0.35">
      <c r="A150" s="329"/>
      <c r="B150" s="330"/>
      <c r="C150" s="136" t="str">
        <f ca="1">Translations!$A$18</f>
        <v>Année 1</v>
      </c>
      <c r="D150" s="136" t="str">
        <f ca="1">Translations!$A$19</f>
        <v>Année 2</v>
      </c>
      <c r="E150" s="136" t="str">
        <f ca="1">Translations!$A$20</f>
        <v>Année 3</v>
      </c>
      <c r="F150" s="333" t="str">
        <f ca="1">Translations!$A$22</f>
        <v>Observations/Hypothèses</v>
      </c>
    </row>
    <row r="151" spans="1:6" ht="39" customHeight="1" x14ac:dyDescent="0.35">
      <c r="A151" s="331"/>
      <c r="B151" s="332"/>
      <c r="C151" s="56">
        <v>2021</v>
      </c>
      <c r="D151" s="56">
        <v>2022</v>
      </c>
      <c r="E151" s="56">
        <v>2023</v>
      </c>
      <c r="F151" s="334"/>
    </row>
    <row r="152" spans="1:6" ht="15" customHeight="1" x14ac:dyDescent="0.35">
      <c r="A152" s="137" t="str">
        <f ca="1">Translations!$A$23</f>
        <v>Estimation des besoins actuels du pays</v>
      </c>
      <c r="B152" s="150"/>
      <c r="C152" s="150"/>
      <c r="D152" s="150"/>
      <c r="E152" s="150"/>
      <c r="F152" s="151"/>
    </row>
    <row r="153" spans="1:6" ht="57.75" customHeight="1" x14ac:dyDescent="0.35">
      <c r="A153" s="140" t="str">
        <f ca="1">Translations!$A$24</f>
        <v>A. Estimation du total des populations dans le besoin/à risque (Prévention VIH)</v>
      </c>
      <c r="B153" s="141" t="s">
        <v>7</v>
      </c>
      <c r="C153" s="290">
        <v>417955</v>
      </c>
      <c r="D153" s="290">
        <v>412398</v>
      </c>
      <c r="E153" s="290">
        <v>406421</v>
      </c>
      <c r="F153" s="291" t="s">
        <v>1175</v>
      </c>
    </row>
    <row r="154" spans="1:6" ht="42" customHeight="1" x14ac:dyDescent="0.35">
      <c r="A154" s="318" t="str">
        <f ca="1">Translations!$A$25</f>
        <v>B. Cibles du pays
(à partir du plan stratégique national)</v>
      </c>
      <c r="B154" s="142" t="s">
        <v>7</v>
      </c>
      <c r="C154" s="290">
        <v>302169</v>
      </c>
      <c r="D154" s="290">
        <v>317226</v>
      </c>
      <c r="E154" s="290">
        <v>331166</v>
      </c>
      <c r="F154" s="340" t="s">
        <v>1175</v>
      </c>
    </row>
    <row r="155" spans="1:6" ht="28.5" customHeight="1" x14ac:dyDescent="0.35">
      <c r="A155" s="319"/>
      <c r="B155" s="142" t="s">
        <v>15</v>
      </c>
      <c r="C155" s="62">
        <f>IF(C154=0,"",+C154/C153)</f>
        <v>0.72297017621514281</v>
      </c>
      <c r="D155" s="62">
        <f t="shared" ref="D155:E155" si="10">IF(D154=0,"",+D154/D153)</f>
        <v>0.76922293512577655</v>
      </c>
      <c r="E155" s="62">
        <f t="shared" si="10"/>
        <v>0.81483486335597821</v>
      </c>
      <c r="F155" s="341"/>
    </row>
    <row r="156" spans="1:6" ht="15" customHeight="1" x14ac:dyDescent="0.35">
      <c r="A156" s="137" t="str">
        <f ca="1">Translations!$A$26</f>
        <v>Besoins du pays déjà couverts</v>
      </c>
      <c r="B156" s="138"/>
      <c r="C156" s="138"/>
      <c r="D156" s="138"/>
      <c r="E156" s="138"/>
      <c r="F156" s="139"/>
    </row>
    <row r="157" spans="1:6" ht="42" customHeight="1" x14ac:dyDescent="0.35">
      <c r="A157" s="318" t="str">
        <f ca="1">Translations!$A$27</f>
        <v>C1. Besoins du pays devant être couverts par des ressources nationales</v>
      </c>
      <c r="B157" s="141" t="s">
        <v>7</v>
      </c>
      <c r="C157" s="290">
        <f>+C154*40%</f>
        <v>120867.6</v>
      </c>
      <c r="D157" s="290">
        <f>+D154*44%</f>
        <v>139579.44</v>
      </c>
      <c r="E157" s="290">
        <f>+E154*48.4%</f>
        <v>160284.34399999998</v>
      </c>
      <c r="F157" s="340" t="s">
        <v>1176</v>
      </c>
    </row>
    <row r="158" spans="1:6" ht="42" customHeight="1" x14ac:dyDescent="0.35">
      <c r="A158" s="319"/>
      <c r="B158" s="141" t="s">
        <v>15</v>
      </c>
      <c r="C158" s="62">
        <f>IF(C157=0,"",+C157/C153)</f>
        <v>0.2891880704860571</v>
      </c>
      <c r="D158" s="62">
        <f t="shared" ref="D158:E158" si="11">IF(D157=0,"",+D157/D153)</f>
        <v>0.33845809145534167</v>
      </c>
      <c r="E158" s="62">
        <f t="shared" si="11"/>
        <v>0.39438007386429341</v>
      </c>
      <c r="F158" s="341"/>
    </row>
    <row r="159" spans="1:6" ht="42" customHeight="1" x14ac:dyDescent="0.35">
      <c r="A159" s="318" t="str">
        <f ca="1">Translations!$A$28</f>
        <v>C2. Besoins du pays devant être couverts par des ressources extérieures</v>
      </c>
      <c r="B159" s="142" t="s">
        <v>7</v>
      </c>
      <c r="C159" s="290">
        <f>+C154*40%*96%</f>
        <v>116032.89600000001</v>
      </c>
      <c r="D159" s="290">
        <f>+D154*30%*96%</f>
        <v>91361.088000000003</v>
      </c>
      <c r="E159" s="290">
        <f>+E154*20%*96%</f>
        <v>63583.871999999996</v>
      </c>
      <c r="F159" s="340" t="s">
        <v>1211</v>
      </c>
    </row>
    <row r="160" spans="1:6" ht="42" customHeight="1" x14ac:dyDescent="0.35">
      <c r="A160" s="319"/>
      <c r="B160" s="142" t="s">
        <v>15</v>
      </c>
      <c r="C160" s="62">
        <f>IF(C159=0,"",+C159/C153)</f>
        <v>0.27762054766661487</v>
      </c>
      <c r="D160" s="62">
        <f>IF(D159=0,"",+D159/D153)</f>
        <v>0.22153620531622364</v>
      </c>
      <c r="E160" s="62">
        <f>IF(E159=0,"",+E159/E153)</f>
        <v>0.1564482937643478</v>
      </c>
      <c r="F160" s="341"/>
    </row>
    <row r="161" spans="1:6" ht="42" customHeight="1" x14ac:dyDescent="0.35">
      <c r="A161" s="318" t="str">
        <f ca="1">Translations!$A$29</f>
        <v>C3. Total des besoins du pays déjà couverts</v>
      </c>
      <c r="B161" s="142" t="s">
        <v>7</v>
      </c>
      <c r="C161" s="63">
        <f>+C157+C159</f>
        <v>236900.49600000001</v>
      </c>
      <c r="D161" s="63">
        <f>+D157+D159</f>
        <v>230940.52799999999</v>
      </c>
      <c r="E161" s="63">
        <f>+E157+E159</f>
        <v>223868.21599999999</v>
      </c>
      <c r="F161" s="61"/>
    </row>
    <row r="162" spans="1:6" ht="42" customHeight="1" x14ac:dyDescent="0.35">
      <c r="A162" s="319"/>
      <c r="B162" s="142" t="s">
        <v>15</v>
      </c>
      <c r="C162" s="62">
        <f>IF(C161=0,"",+C161/C153)</f>
        <v>0.56680861815267192</v>
      </c>
      <c r="D162" s="62">
        <f>IF(D161=0,"",+D161/D153)</f>
        <v>0.55999429677156531</v>
      </c>
      <c r="E162" s="62">
        <f>IF(E161=0,"",+E161/E153)</f>
        <v>0.55082836762864118</v>
      </c>
      <c r="F162" s="61"/>
    </row>
    <row r="163" spans="1:6" x14ac:dyDescent="0.35">
      <c r="A163" s="137" t="str">
        <f ca="1">Translations!$A$30</f>
        <v>Déficit programmatique</v>
      </c>
      <c r="B163" s="138"/>
      <c r="C163" s="138"/>
      <c r="D163" s="138"/>
      <c r="E163" s="138"/>
      <c r="F163" s="139"/>
    </row>
    <row r="164" spans="1:6" ht="42" customHeight="1" x14ac:dyDescent="0.35">
      <c r="A164" s="335" t="str">
        <f ca="1">Translations!$A$31</f>
        <v>D. Déficit annuel attendu par rapport aux besoins : A - C3</v>
      </c>
      <c r="B164" s="141" t="s">
        <v>7</v>
      </c>
      <c r="C164" s="64">
        <f>+C153-(C161)</f>
        <v>181054.50399999999</v>
      </c>
      <c r="D164" s="64">
        <f>+D153-(D161)</f>
        <v>181457.47200000001</v>
      </c>
      <c r="E164" s="64">
        <f>+E153-(E161)</f>
        <v>182552.78400000001</v>
      </c>
      <c r="F164" s="343"/>
    </row>
    <row r="165" spans="1:6" ht="42" customHeight="1" x14ac:dyDescent="0.35">
      <c r="A165" s="336"/>
      <c r="B165" s="141" t="s">
        <v>15</v>
      </c>
      <c r="C165" s="62">
        <f>IF(C164=0,"",+C164/C153)</f>
        <v>0.43319138184732803</v>
      </c>
      <c r="D165" s="62">
        <f>IF(D164=0,"",+D164/D153)</f>
        <v>0.44000570322843469</v>
      </c>
      <c r="E165" s="62">
        <f>IF(E164=0,"",+E164/E153)</f>
        <v>0.44917163237135882</v>
      </c>
      <c r="F165" s="344"/>
    </row>
    <row r="166" spans="1:6" ht="15" customHeight="1" x14ac:dyDescent="0.35">
      <c r="A166" s="145" t="str">
        <f ca="1">Translations!$A$32</f>
        <v>Besoins du pays couverts par la somme allouée</v>
      </c>
      <c r="B166" s="143"/>
      <c r="C166" s="143"/>
      <c r="D166" s="143"/>
      <c r="E166" s="143"/>
      <c r="F166" s="144"/>
    </row>
    <row r="167" spans="1:6" ht="42" customHeight="1" x14ac:dyDescent="0.35">
      <c r="A167" s="335" t="str">
        <f ca="1">Translations!$A$33</f>
        <v>E. Cibles devant être financées par la somme allouée</v>
      </c>
      <c r="B167" s="142" t="s">
        <v>7</v>
      </c>
      <c r="C167" s="290">
        <f>+C154-C157-C159</f>
        <v>65268.503999999986</v>
      </c>
      <c r="D167" s="290">
        <f t="shared" ref="D167:E167" si="12">+D154-D157-D159</f>
        <v>86285.471999999994</v>
      </c>
      <c r="E167" s="290">
        <f t="shared" si="12"/>
        <v>107297.78400000001</v>
      </c>
      <c r="F167" s="340" t="s">
        <v>1212</v>
      </c>
    </row>
    <row r="168" spans="1:6" ht="42" customHeight="1" x14ac:dyDescent="0.35">
      <c r="A168" s="336"/>
      <c r="B168" s="142" t="s">
        <v>15</v>
      </c>
      <c r="C168" s="62">
        <f>IF(C167=0,"",+C167/C153)</f>
        <v>0.15616155806247081</v>
      </c>
      <c r="D168" s="62">
        <f>IF(D167=0,"",+D167/D153)</f>
        <v>0.20922863835421121</v>
      </c>
      <c r="E168" s="62">
        <f>IF(E167=0,"",+E167/E153)</f>
        <v>0.26400649572733698</v>
      </c>
      <c r="F168" s="341"/>
    </row>
    <row r="169" spans="1:6" ht="42" customHeight="1" x14ac:dyDescent="0.35">
      <c r="A169" s="335" t="str">
        <f ca="1">Translations!$A$34</f>
        <v>F. Couverture par la somme allouée et d'autres ressources : E + C3</v>
      </c>
      <c r="B169" s="142" t="s">
        <v>7</v>
      </c>
      <c r="C169" s="64">
        <f>+C167+C161</f>
        <v>302169</v>
      </c>
      <c r="D169" s="64">
        <f>+D167+D161</f>
        <v>317226</v>
      </c>
      <c r="E169" s="64">
        <f>+E167+E161</f>
        <v>331166</v>
      </c>
      <c r="F169" s="343"/>
    </row>
    <row r="170" spans="1:6" ht="42" customHeight="1" x14ac:dyDescent="0.35">
      <c r="A170" s="336"/>
      <c r="B170" s="142" t="s">
        <v>15</v>
      </c>
      <c r="C170" s="62">
        <f>IF(C169=0,"",+C169/C153)</f>
        <v>0.72297017621514281</v>
      </c>
      <c r="D170" s="62">
        <f>IF(D169=0,"",+D169/D153)</f>
        <v>0.76922293512577655</v>
      </c>
      <c r="E170" s="62">
        <f>IF(E169=0,"",+E169/E153)</f>
        <v>0.81483486335597821</v>
      </c>
      <c r="F170" s="344"/>
    </row>
    <row r="171" spans="1:6" ht="42" customHeight="1" x14ac:dyDescent="0.35">
      <c r="A171" s="335" t="str">
        <f ca="1">Translations!$A$35</f>
        <v xml:space="preserve">G. Déficit restant : A - F </v>
      </c>
      <c r="B171" s="142" t="s">
        <v>7</v>
      </c>
      <c r="C171" s="64">
        <f>+C153-(C169)</f>
        <v>115786</v>
      </c>
      <c r="D171" s="64">
        <f>+D153-(D169)</f>
        <v>95172</v>
      </c>
      <c r="E171" s="64">
        <f>+E153-(E169)</f>
        <v>75255</v>
      </c>
      <c r="F171" s="343"/>
    </row>
    <row r="172" spans="1:6" ht="42" customHeight="1" thickBot="1" x14ac:dyDescent="0.4">
      <c r="A172" s="342"/>
      <c r="B172" s="142" t="s">
        <v>15</v>
      </c>
      <c r="C172" s="62">
        <f>IF(C171=0,"",+C171/C153)</f>
        <v>0.27702982378485724</v>
      </c>
      <c r="D172" s="62">
        <f>IF(D171=0,"",+D171/D153)</f>
        <v>0.23077706487422345</v>
      </c>
      <c r="E172" s="62">
        <f>IF(E171=0,"",+E171/E153)</f>
        <v>0.18516513664402184</v>
      </c>
      <c r="F172" s="344"/>
    </row>
    <row r="173" spans="1:6" x14ac:dyDescent="0.35">
      <c r="A173" s="152"/>
      <c r="B173" s="152"/>
      <c r="C173" s="152"/>
      <c r="D173" s="152"/>
      <c r="E173" s="152"/>
      <c r="F173" s="152"/>
    </row>
    <row r="174" spans="1:6" ht="15" thickBot="1" x14ac:dyDescent="0.4">
      <c r="A174" s="152"/>
      <c r="B174" s="152"/>
      <c r="C174" s="152"/>
      <c r="D174" s="152"/>
      <c r="E174" s="152"/>
      <c r="F174" s="152"/>
    </row>
    <row r="175" spans="1:6" ht="18.5" thickBot="1" x14ac:dyDescent="0.4">
      <c r="A175" s="117" t="str">
        <f ca="1">Translations!$A$3</f>
        <v>VIH/sida</v>
      </c>
      <c r="B175" s="118"/>
      <c r="C175" s="118"/>
      <c r="D175" s="118"/>
      <c r="E175" s="118"/>
      <c r="F175" s="119"/>
    </row>
    <row r="176" spans="1:6" ht="14.25" customHeight="1" x14ac:dyDescent="0.35">
      <c r="A176" s="120" t="str">
        <f ca="1">Translations!$A$9</f>
        <v>Tableau 6 des déficits programmatiques pour le VIH/sida (par intervention prioritaire)</v>
      </c>
      <c r="B176" s="121"/>
      <c r="C176" s="121"/>
      <c r="D176" s="121"/>
      <c r="E176" s="122"/>
      <c r="F176" s="123"/>
    </row>
    <row r="177" spans="1:6" ht="30" customHeight="1" x14ac:dyDescent="0.35">
      <c r="A177" s="124" t="str">
        <f ca="1">Translations!$A$10</f>
        <v>Module prioritaire</v>
      </c>
      <c r="B177" s="326" t="s">
        <v>870</v>
      </c>
      <c r="C177" s="327"/>
      <c r="D177" s="327"/>
      <c r="E177" s="327"/>
      <c r="F177" s="328"/>
    </row>
    <row r="178" spans="1:6" ht="30" customHeight="1" x14ac:dyDescent="0.35">
      <c r="A178" s="124" t="str">
        <f ca="1">Translations!$A$11</f>
        <v>Indicateur de couverture sélectionné</v>
      </c>
      <c r="B178" s="320" t="str">
        <f ca="1">VLOOKUP(B177,HIVModulesIndicators,2,FALSE)</f>
        <v xml:space="preserve">Pourcentage de PVVIH sous traitement antirétroviral qui ont commencé la thérapie préventive de la tuberculose parmi ceux éligibles durant la période de rapportage </v>
      </c>
      <c r="C178" s="321"/>
      <c r="D178" s="321"/>
      <c r="E178" s="321"/>
      <c r="F178" s="322"/>
    </row>
    <row r="179" spans="1:6" ht="30" customHeight="1" x14ac:dyDescent="0.35">
      <c r="A179" s="125" t="str">
        <f ca="1">Translations!$A$12</f>
        <v>Population cible</v>
      </c>
      <c r="B179" s="337"/>
      <c r="C179" s="338"/>
      <c r="D179" s="338"/>
      <c r="E179" s="338"/>
      <c r="F179" s="339"/>
    </row>
    <row r="180" spans="1:6" x14ac:dyDescent="0.35">
      <c r="A180" s="126" t="str">
        <f ca="1">Translations!$A$13</f>
        <v>Couverture nationale actuelle</v>
      </c>
      <c r="B180" s="127"/>
      <c r="C180" s="127"/>
      <c r="D180" s="127"/>
      <c r="E180" s="127"/>
      <c r="F180" s="128"/>
    </row>
    <row r="181" spans="1:6" ht="27.75" customHeight="1" x14ac:dyDescent="0.35">
      <c r="A181" s="129" t="str">
        <f ca="1">Translations!$A$14</f>
        <v>Indiquez les résultats les plus récents</v>
      </c>
      <c r="B181" s="289">
        <v>1.4E-3</v>
      </c>
      <c r="C181" s="130" t="str">
        <f ca="1">Translations!$A$15</f>
        <v>Année</v>
      </c>
      <c r="D181" s="53">
        <v>2019</v>
      </c>
      <c r="E181" s="131" t="str">
        <f ca="1">Translations!$A$16</f>
        <v>Source des données</v>
      </c>
      <c r="F181" s="53" t="s">
        <v>1178</v>
      </c>
    </row>
    <row r="182" spans="1:6" ht="30" customHeight="1" thickBot="1" x14ac:dyDescent="0.4">
      <c r="A182" s="132" t="str">
        <f ca="1">Translations!$A$17</f>
        <v>Observations</v>
      </c>
      <c r="B182" s="323" t="s">
        <v>1177</v>
      </c>
      <c r="C182" s="324"/>
      <c r="D182" s="324"/>
      <c r="E182" s="324"/>
      <c r="F182" s="325"/>
    </row>
    <row r="183" spans="1:6" ht="15" thickBot="1" x14ac:dyDescent="0.4">
      <c r="A183" s="133"/>
      <c r="B183" s="134"/>
      <c r="C183" s="134"/>
      <c r="D183" s="134"/>
      <c r="E183" s="134"/>
      <c r="F183" s="135"/>
    </row>
    <row r="184" spans="1:6" x14ac:dyDescent="0.35">
      <c r="A184" s="329"/>
      <c r="B184" s="330"/>
      <c r="C184" s="136" t="str">
        <f ca="1">Translations!$A$18</f>
        <v>Année 1</v>
      </c>
      <c r="D184" s="136" t="str">
        <f ca="1">Translations!$A$19</f>
        <v>Année 2</v>
      </c>
      <c r="E184" s="136" t="str">
        <f ca="1">Translations!$A$20</f>
        <v>Année 3</v>
      </c>
      <c r="F184" s="333" t="str">
        <f ca="1">Translations!$A$22</f>
        <v>Observations/Hypothèses</v>
      </c>
    </row>
    <row r="185" spans="1:6" ht="39.75" customHeight="1" x14ac:dyDescent="0.35">
      <c r="A185" s="331"/>
      <c r="B185" s="332"/>
      <c r="C185" s="56">
        <v>2021</v>
      </c>
      <c r="D185" s="56">
        <v>2022</v>
      </c>
      <c r="E185" s="56">
        <v>2023</v>
      </c>
      <c r="F185" s="334"/>
    </row>
    <row r="186" spans="1:6" ht="15" customHeight="1" x14ac:dyDescent="0.35">
      <c r="A186" s="137" t="str">
        <f ca="1">Translations!$A$23</f>
        <v>Estimation des besoins actuels du pays</v>
      </c>
      <c r="B186" s="143"/>
      <c r="C186" s="143"/>
      <c r="D186" s="143"/>
      <c r="E186" s="143"/>
      <c r="F186" s="144"/>
    </row>
    <row r="187" spans="1:6" ht="69" customHeight="1" x14ac:dyDescent="0.35">
      <c r="A187" s="140" t="str">
        <f ca="1">Translations!$A$24</f>
        <v>A. Estimation du total des populations dans le besoin/à risque (Prévention VIH)</v>
      </c>
      <c r="B187" s="141" t="s">
        <v>7</v>
      </c>
      <c r="C187" s="290">
        <f>+(302169*90%)-21800-374</f>
        <v>249778.10000000003</v>
      </c>
      <c r="D187" s="290">
        <f>+(317226-21800-374-C188)*90%</f>
        <v>200476.80000000002</v>
      </c>
      <c r="E187" s="290">
        <f>+(331166-C188-D188-20211-374)*90%</f>
        <v>169560</v>
      </c>
      <c r="F187" s="291" t="s">
        <v>1179</v>
      </c>
    </row>
    <row r="188" spans="1:6" ht="42" customHeight="1" x14ac:dyDescent="0.35">
      <c r="A188" s="318" t="str">
        <f ca="1">Translations!$A$25</f>
        <v>B. Cibles du pays
(à partir du plan stratégique national)</v>
      </c>
      <c r="B188" s="142" t="s">
        <v>7</v>
      </c>
      <c r="C188" s="290">
        <v>72300</v>
      </c>
      <c r="D188" s="290">
        <v>49881</v>
      </c>
      <c r="E188" s="290">
        <v>41027</v>
      </c>
      <c r="F188" s="340" t="s">
        <v>1206</v>
      </c>
    </row>
    <row r="189" spans="1:6" ht="42" customHeight="1" x14ac:dyDescent="0.35">
      <c r="A189" s="319"/>
      <c r="B189" s="142" t="s">
        <v>15</v>
      </c>
      <c r="C189" s="62">
        <f>IF(C188=0,"",+C188/C187)</f>
        <v>0.28945692196393513</v>
      </c>
      <c r="D189" s="62">
        <f t="shared" ref="D189:E189" si="13">IF(D188=0,"",+D188/D187)</f>
        <v>0.24881183259110279</v>
      </c>
      <c r="E189" s="62">
        <f t="shared" si="13"/>
        <v>0.24196154753479593</v>
      </c>
      <c r="F189" s="341"/>
    </row>
    <row r="190" spans="1:6" ht="15" customHeight="1" x14ac:dyDescent="0.35">
      <c r="A190" s="137" t="str">
        <f ca="1">Translations!$A$26</f>
        <v>Besoins du pays déjà couverts</v>
      </c>
      <c r="B190" s="143"/>
      <c r="C190" s="143"/>
      <c r="D190" s="143"/>
      <c r="E190" s="143"/>
      <c r="F190" s="144"/>
    </row>
    <row r="191" spans="1:6" ht="42" customHeight="1" x14ac:dyDescent="0.35">
      <c r="A191" s="318" t="str">
        <f ca="1">Translations!$A$27</f>
        <v>C1. Besoins du pays devant être couverts par des ressources nationales</v>
      </c>
      <c r="B191" s="141" t="s">
        <v>7</v>
      </c>
      <c r="C191" s="290">
        <f>C188*5%</f>
        <v>3615</v>
      </c>
      <c r="D191" s="290">
        <f>+D188*7.5%</f>
        <v>3741.0749999999998</v>
      </c>
      <c r="E191" s="290">
        <f>+E188*10%</f>
        <v>4102.7</v>
      </c>
      <c r="F191" s="340" t="s">
        <v>1213</v>
      </c>
    </row>
    <row r="192" spans="1:6" ht="42" customHeight="1" x14ac:dyDescent="0.35">
      <c r="A192" s="319"/>
      <c r="B192" s="141" t="s">
        <v>15</v>
      </c>
      <c r="C192" s="62">
        <f>IF(C191=0,"",+C191/C187)</f>
        <v>1.4472846098196757E-2</v>
      </c>
      <c r="D192" s="62">
        <f t="shared" ref="D192:E192" si="14">IF(D191=0,"",+D191/D187)</f>
        <v>1.8660887444332707E-2</v>
      </c>
      <c r="E192" s="62">
        <f t="shared" si="14"/>
        <v>2.4196154753479592E-2</v>
      </c>
      <c r="F192" s="341"/>
    </row>
    <row r="193" spans="1:6" ht="42" customHeight="1" x14ac:dyDescent="0.35">
      <c r="A193" s="318" t="str">
        <f ca="1">Translations!$A$28</f>
        <v>C2. Besoins du pays devant être couverts par des ressources extérieures</v>
      </c>
      <c r="B193" s="142" t="s">
        <v>7</v>
      </c>
      <c r="C193" s="290">
        <v>47000</v>
      </c>
      <c r="D193" s="290">
        <v>0</v>
      </c>
      <c r="E193" s="290">
        <v>0</v>
      </c>
      <c r="F193" s="292" t="s">
        <v>1237</v>
      </c>
    </row>
    <row r="194" spans="1:6" ht="42" customHeight="1" x14ac:dyDescent="0.35">
      <c r="A194" s="319"/>
      <c r="B194" s="142" t="s">
        <v>15</v>
      </c>
      <c r="C194" s="62">
        <f>IF(C193=0,"",+C193/C187)</f>
        <v>0.18816701704432853</v>
      </c>
      <c r="D194" s="62" t="str">
        <f>IF(D193=0,"",+D193/D187)</f>
        <v/>
      </c>
      <c r="E194" s="62" t="str">
        <f>IF(E193=0,"",+E193/E187)</f>
        <v/>
      </c>
      <c r="F194" s="61"/>
    </row>
    <row r="195" spans="1:6" ht="42" customHeight="1" x14ac:dyDescent="0.35">
      <c r="A195" s="318" t="str">
        <f ca="1">Translations!$A$29</f>
        <v>C3. Total des besoins du pays déjà couverts</v>
      </c>
      <c r="B195" s="142" t="s">
        <v>7</v>
      </c>
      <c r="C195" s="63">
        <f>+C191+C193</f>
        <v>50615</v>
      </c>
      <c r="D195" s="63">
        <f>+D191+D193</f>
        <v>3741.0749999999998</v>
      </c>
      <c r="E195" s="63">
        <f>+E191+E193</f>
        <v>4102.7</v>
      </c>
      <c r="F195" s="61"/>
    </row>
    <row r="196" spans="1:6" ht="42" customHeight="1" x14ac:dyDescent="0.35">
      <c r="A196" s="319"/>
      <c r="B196" s="142" t="s">
        <v>15</v>
      </c>
      <c r="C196" s="62">
        <f>IF(C195=0,"",+C195/C187)</f>
        <v>0.20263986314252527</v>
      </c>
      <c r="D196" s="62">
        <f>IF(D195=0,"",+D195/D187)</f>
        <v>1.8660887444332707E-2</v>
      </c>
      <c r="E196" s="62">
        <f>IF(E195=0,"",+E195/E187)</f>
        <v>2.4196154753479592E-2</v>
      </c>
      <c r="F196" s="61"/>
    </row>
    <row r="197" spans="1:6" x14ac:dyDescent="0.35">
      <c r="A197" s="137" t="str">
        <f ca="1">Translations!$A$30</f>
        <v>Déficit programmatique</v>
      </c>
      <c r="B197" s="143"/>
      <c r="C197" s="143"/>
      <c r="D197" s="143"/>
      <c r="E197" s="143"/>
      <c r="F197" s="144"/>
    </row>
    <row r="198" spans="1:6" ht="42" customHeight="1" x14ac:dyDescent="0.35">
      <c r="A198" s="335" t="str">
        <f ca="1">Translations!$A$31</f>
        <v>D. Déficit annuel attendu par rapport aux besoins : A - C3</v>
      </c>
      <c r="B198" s="141" t="s">
        <v>7</v>
      </c>
      <c r="C198" s="64">
        <f>+C187-(C195)</f>
        <v>199163.10000000003</v>
      </c>
      <c r="D198" s="64">
        <f>+D187-(D195)</f>
        <v>196735.72500000001</v>
      </c>
      <c r="E198" s="64">
        <f>+E187-(E195)</f>
        <v>165457.29999999999</v>
      </c>
      <c r="F198" s="343"/>
    </row>
    <row r="199" spans="1:6" ht="42" customHeight="1" x14ac:dyDescent="0.35">
      <c r="A199" s="336"/>
      <c r="B199" s="141" t="s">
        <v>15</v>
      </c>
      <c r="C199" s="62">
        <f>IF(C198=0,"",+C198/C187)</f>
        <v>0.79736013685747475</v>
      </c>
      <c r="D199" s="62">
        <f>IF(D198=0,"",+D198/D187)</f>
        <v>0.98133911255566719</v>
      </c>
      <c r="E199" s="62">
        <f>IF(E198=0,"",+E198/E187)</f>
        <v>0.97580384524652031</v>
      </c>
      <c r="F199" s="344"/>
    </row>
    <row r="200" spans="1:6" ht="15" customHeight="1" x14ac:dyDescent="0.35">
      <c r="A200" s="145" t="str">
        <f ca="1">Translations!$A$32</f>
        <v>Besoins du pays couverts par la somme allouée</v>
      </c>
      <c r="B200" s="143"/>
      <c r="C200" s="143"/>
      <c r="D200" s="143"/>
      <c r="E200" s="143"/>
      <c r="F200" s="144"/>
    </row>
    <row r="201" spans="1:6" ht="42" customHeight="1" x14ac:dyDescent="0.35">
      <c r="A201" s="335" t="str">
        <f ca="1">Translations!$A$33</f>
        <v>E. Cibles devant être financées par la somme allouée</v>
      </c>
      <c r="B201" s="142" t="s">
        <v>7</v>
      </c>
      <c r="C201" s="290">
        <f>+C188-C191-C193</f>
        <v>21685</v>
      </c>
      <c r="D201" s="290">
        <f t="shared" ref="D201:E201" si="15">+D188-D191-D193</f>
        <v>46139.925000000003</v>
      </c>
      <c r="E201" s="290">
        <f t="shared" si="15"/>
        <v>36924.300000000003</v>
      </c>
      <c r="F201" s="340" t="s">
        <v>1214</v>
      </c>
    </row>
    <row r="202" spans="1:6" ht="42" customHeight="1" x14ac:dyDescent="0.35">
      <c r="A202" s="336"/>
      <c r="B202" s="142" t="s">
        <v>15</v>
      </c>
      <c r="C202" s="62">
        <f>IF(C201=0,"",+C201/C187)</f>
        <v>8.6817058821409873E-2</v>
      </c>
      <c r="D202" s="62">
        <f>IF(D201=0,"",+D201/D187)</f>
        <v>0.23015094514677009</v>
      </c>
      <c r="E202" s="62">
        <f>IF(E201=0,"",+E201/E187)</f>
        <v>0.21776539278131637</v>
      </c>
      <c r="F202" s="341"/>
    </row>
    <row r="203" spans="1:6" ht="42" customHeight="1" x14ac:dyDescent="0.35">
      <c r="A203" s="335" t="str">
        <f ca="1">Translations!$A$34</f>
        <v>F. Couverture par la somme allouée et d'autres ressources : E + C3</v>
      </c>
      <c r="B203" s="142" t="s">
        <v>7</v>
      </c>
      <c r="C203" s="64">
        <f>+C201+C195</f>
        <v>72300</v>
      </c>
      <c r="D203" s="64">
        <f>+D201+D195</f>
        <v>49881</v>
      </c>
      <c r="E203" s="64">
        <f>+E201+E195</f>
        <v>41027</v>
      </c>
      <c r="F203" s="343"/>
    </row>
    <row r="204" spans="1:6" ht="42" customHeight="1" x14ac:dyDescent="0.35">
      <c r="A204" s="336"/>
      <c r="B204" s="142" t="s">
        <v>15</v>
      </c>
      <c r="C204" s="62">
        <f>IF(C203=0,"",+C203/C187)</f>
        <v>0.28945692196393513</v>
      </c>
      <c r="D204" s="62">
        <f>IF(D203=0,"",+D203/D187)</f>
        <v>0.24881183259110279</v>
      </c>
      <c r="E204" s="62">
        <f>IF(E203=0,"",+E203/E187)</f>
        <v>0.24196154753479593</v>
      </c>
      <c r="F204" s="344"/>
    </row>
    <row r="205" spans="1:6" ht="42" customHeight="1" x14ac:dyDescent="0.35">
      <c r="A205" s="335" t="str">
        <f ca="1">Translations!$A$35</f>
        <v xml:space="preserve">G. Déficit restant : A - F </v>
      </c>
      <c r="B205" s="142" t="s">
        <v>7</v>
      </c>
      <c r="C205" s="64">
        <f>+C187-(C203)</f>
        <v>177478.10000000003</v>
      </c>
      <c r="D205" s="64">
        <f>+D187-(D203)</f>
        <v>150595.80000000002</v>
      </c>
      <c r="E205" s="64">
        <f>+E187-(E203)</f>
        <v>128533</v>
      </c>
      <c r="F205" s="343"/>
    </row>
    <row r="206" spans="1:6" ht="42" customHeight="1" thickBot="1" x14ac:dyDescent="0.4">
      <c r="A206" s="342"/>
      <c r="B206" s="142" t="s">
        <v>15</v>
      </c>
      <c r="C206" s="62">
        <f>IF(C205=0,"",+C205/C187)</f>
        <v>0.71054307803606487</v>
      </c>
      <c r="D206" s="62">
        <f>IF(D205=0,"",+D205/D187)</f>
        <v>0.75118816740889716</v>
      </c>
      <c r="E206" s="62">
        <f>IF(E205=0,"",+E205/E187)</f>
        <v>0.75803845246520407</v>
      </c>
      <c r="F206" s="344"/>
    </row>
  </sheetData>
  <sheetProtection password="E205" sheet="1" formatColumns="0" formatRows="0"/>
  <mergeCells count="129">
    <mergeCell ref="F198:F199"/>
    <mergeCell ref="B182:F182"/>
    <mergeCell ref="A198:A199"/>
    <mergeCell ref="B178:F178"/>
    <mergeCell ref="B8:F8"/>
    <mergeCell ref="A21:A22"/>
    <mergeCell ref="A28:A29"/>
    <mergeCell ref="A33:A34"/>
    <mergeCell ref="B9:F9"/>
    <mergeCell ref="B80:F80"/>
    <mergeCell ref="A57:A58"/>
    <mergeCell ref="A59:A60"/>
    <mergeCell ref="A89:A90"/>
    <mergeCell ref="F52:F53"/>
    <mergeCell ref="F55:F56"/>
    <mergeCell ref="F62:F63"/>
    <mergeCell ref="F65:F66"/>
    <mergeCell ref="F67:F68"/>
    <mergeCell ref="F69:F70"/>
    <mergeCell ref="F86:F87"/>
    <mergeCell ref="F89:F90"/>
    <mergeCell ref="A65:A66"/>
    <mergeCell ref="A67:A68"/>
    <mergeCell ref="A52:A53"/>
    <mergeCell ref="F201:F202"/>
    <mergeCell ref="F203:F204"/>
    <mergeCell ref="F205:F206"/>
    <mergeCell ref="A201:A202"/>
    <mergeCell ref="A203:A204"/>
    <mergeCell ref="A205:A206"/>
    <mergeCell ref="A116:B117"/>
    <mergeCell ref="F116:F117"/>
    <mergeCell ref="A130:A131"/>
    <mergeCell ref="A127:A128"/>
    <mergeCell ref="F137:F138"/>
    <mergeCell ref="F135:F136"/>
    <mergeCell ref="F120:F121"/>
    <mergeCell ref="F123:F124"/>
    <mergeCell ref="F130:F131"/>
    <mergeCell ref="F133:F134"/>
    <mergeCell ref="A191:A192"/>
    <mergeCell ref="F188:F189"/>
    <mergeCell ref="A123:A124"/>
    <mergeCell ref="A133:A134"/>
    <mergeCell ref="A135:A136"/>
    <mergeCell ref="A137:A138"/>
    <mergeCell ref="A167:A168"/>
    <mergeCell ref="A169:A170"/>
    <mergeCell ref="G4:H4"/>
    <mergeCell ref="A1:E1"/>
    <mergeCell ref="A2:E2"/>
    <mergeCell ref="A3:E3"/>
    <mergeCell ref="A14:B15"/>
    <mergeCell ref="F14:F15"/>
    <mergeCell ref="A18:A19"/>
    <mergeCell ref="A35:A36"/>
    <mergeCell ref="F18:F19"/>
    <mergeCell ref="F31:F32"/>
    <mergeCell ref="F28:F29"/>
    <mergeCell ref="F21:F22"/>
    <mergeCell ref="F33:F34"/>
    <mergeCell ref="F35:F36"/>
    <mergeCell ref="A31:A32"/>
    <mergeCell ref="A4:F4"/>
    <mergeCell ref="B12:F12"/>
    <mergeCell ref="B7:F7"/>
    <mergeCell ref="A23:A24"/>
    <mergeCell ref="A25:A26"/>
    <mergeCell ref="F1:F3"/>
    <mergeCell ref="F23:F24"/>
    <mergeCell ref="B77:F77"/>
    <mergeCell ref="B111:F111"/>
    <mergeCell ref="B145:F145"/>
    <mergeCell ref="A91:A92"/>
    <mergeCell ref="A93:A94"/>
    <mergeCell ref="A125:A126"/>
    <mergeCell ref="A159:A160"/>
    <mergeCell ref="A161:A162"/>
    <mergeCell ref="F171:F172"/>
    <mergeCell ref="A101:A102"/>
    <mergeCell ref="A103:A104"/>
    <mergeCell ref="A150:B151"/>
    <mergeCell ref="F150:F151"/>
    <mergeCell ref="F154:F155"/>
    <mergeCell ref="F157:F158"/>
    <mergeCell ref="F164:F165"/>
    <mergeCell ref="A154:A155"/>
    <mergeCell ref="A120:A121"/>
    <mergeCell ref="F159:F160"/>
    <mergeCell ref="F125:F126"/>
    <mergeCell ref="B41:F41"/>
    <mergeCell ref="B42:F42"/>
    <mergeCell ref="B46:F46"/>
    <mergeCell ref="B75:F75"/>
    <mergeCell ref="B76:F76"/>
    <mergeCell ref="B109:F109"/>
    <mergeCell ref="B110:F110"/>
    <mergeCell ref="B114:F114"/>
    <mergeCell ref="B143:F143"/>
    <mergeCell ref="F48:F49"/>
    <mergeCell ref="F96:F97"/>
    <mergeCell ref="F99:F100"/>
    <mergeCell ref="F101:F102"/>
    <mergeCell ref="F103:F104"/>
    <mergeCell ref="A48:B49"/>
    <mergeCell ref="A55:A56"/>
    <mergeCell ref="A62:A63"/>
    <mergeCell ref="B43:F43"/>
    <mergeCell ref="A69:A70"/>
    <mergeCell ref="A82:B83"/>
    <mergeCell ref="F82:F83"/>
    <mergeCell ref="A86:A87"/>
    <mergeCell ref="A96:A97"/>
    <mergeCell ref="A99:A100"/>
    <mergeCell ref="A195:A196"/>
    <mergeCell ref="B144:F144"/>
    <mergeCell ref="B148:F148"/>
    <mergeCell ref="B177:F177"/>
    <mergeCell ref="A188:A189"/>
    <mergeCell ref="A184:B185"/>
    <mergeCell ref="F184:F185"/>
    <mergeCell ref="A157:A158"/>
    <mergeCell ref="A164:A165"/>
    <mergeCell ref="A193:A194"/>
    <mergeCell ref="B179:F179"/>
    <mergeCell ref="F191:F192"/>
    <mergeCell ref="A171:A172"/>
    <mergeCell ref="F167:F168"/>
    <mergeCell ref="F169:F170"/>
  </mergeCells>
  <dataValidations xWindow="704" yWindow="459" count="2">
    <dataValidation type="list" allowBlank="1" showInputMessage="1" showErrorMessage="1" sqref="B7:F7 B41:F41 B75:F75 B109:F109 B143:F143 B177:F177" xr:uid="{00000000-0002-0000-0200-000000000000}">
      <formula1>ListHIVModules</formula1>
    </dataValidation>
    <dataValidation type="list" allowBlank="1" showInputMessage="1" showErrorMessage="1" sqref="B145:F145 B179:F179 B43:F43 B77:F77 B111:F111 B9:F9" xr:uid="{00000000-0002-0000-0200-000001000000}">
      <formula1>INDIRECT(SUBSTITUTE(B7," ",""))</formula1>
    </dataValidation>
  </dataValidations>
  <pageMargins left="0.7" right="0.7" top="0.75" bottom="0.75" header="0.3" footer="0.3"/>
  <pageSetup paperSize="8" scale="72" fitToHeight="0" orientation="portrait" r:id="rId1"/>
  <rowBreaks count="5" manualBreakCount="5">
    <brk id="36" max="5" man="1"/>
    <brk id="71" max="5" man="1"/>
    <brk id="105" max="5" man="1"/>
    <brk id="139" max="5" man="1"/>
    <brk id="173" max="5" man="1"/>
  </rowBreaks>
  <ignoredErrors>
    <ignoredError sqref="C69:E6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8"/>
  </sheetPr>
  <dimension ref="A1:U38"/>
  <sheetViews>
    <sheetView view="pageBreakPreview" zoomScale="85" zoomScaleNormal="85" zoomScaleSheetLayoutView="85" workbookViewId="0">
      <selection activeCell="F19" sqref="F19"/>
    </sheetView>
  </sheetViews>
  <sheetFormatPr baseColWidth="10" defaultColWidth="9" defaultRowHeight="14" x14ac:dyDescent="0.3"/>
  <cols>
    <col min="1" max="1" width="31.58203125" style="162" customWidth="1"/>
    <col min="2" max="2" width="9.08203125" style="162" customWidth="1"/>
    <col min="3" max="5" width="11.58203125" style="162" customWidth="1"/>
    <col min="6" max="6" width="102.33203125" style="162" customWidth="1"/>
    <col min="7" max="7" width="94.33203125" style="162" customWidth="1"/>
    <col min="8" max="8" width="21.58203125" style="162" customWidth="1"/>
    <col min="9" max="9" width="9" style="162"/>
    <col min="10" max="10" width="10.08203125" style="162" customWidth="1"/>
    <col min="11" max="11" width="10.58203125" style="162" customWidth="1"/>
    <col min="12" max="12" width="12.08203125" style="162" customWidth="1"/>
    <col min="13" max="16384" width="9" style="162"/>
  </cols>
  <sheetData>
    <row r="1" spans="1:21" ht="18" customHeight="1" x14ac:dyDescent="0.3">
      <c r="A1" s="346" t="s">
        <v>24</v>
      </c>
      <c r="B1" s="346"/>
      <c r="C1" s="346"/>
      <c r="D1" s="346"/>
      <c r="E1" s="346"/>
      <c r="F1" s="349" t="str">
        <f ca="1">Translations!$G$116</f>
        <v>Dernière version mise à jour mars 2020</v>
      </c>
      <c r="G1" s="24"/>
      <c r="H1" s="160"/>
      <c r="I1" s="160"/>
      <c r="J1" s="160"/>
      <c r="K1" s="160"/>
      <c r="L1" s="160"/>
      <c r="M1" s="160"/>
      <c r="N1" s="161"/>
      <c r="O1" s="161"/>
      <c r="P1" s="161"/>
      <c r="Q1" s="161"/>
      <c r="R1" s="161"/>
      <c r="S1" s="161"/>
      <c r="T1" s="161"/>
      <c r="U1" s="161"/>
    </row>
    <row r="2" spans="1:21" ht="18" customHeight="1" x14ac:dyDescent="0.3">
      <c r="A2" s="347" t="s">
        <v>516</v>
      </c>
      <c r="B2" s="347"/>
      <c r="C2" s="347"/>
      <c r="D2" s="347"/>
      <c r="E2" s="347"/>
      <c r="F2" s="350"/>
      <c r="G2" s="24"/>
      <c r="H2" s="160"/>
      <c r="I2" s="160"/>
      <c r="J2" s="160"/>
      <c r="K2" s="160"/>
      <c r="L2" s="160"/>
      <c r="M2" s="160"/>
      <c r="N2" s="161"/>
      <c r="O2" s="161"/>
      <c r="P2" s="161"/>
      <c r="Q2" s="161"/>
      <c r="R2" s="161"/>
      <c r="S2" s="161"/>
      <c r="T2" s="161"/>
      <c r="U2" s="161"/>
    </row>
    <row r="3" spans="1:21" ht="18" customHeight="1" thickBot="1" x14ac:dyDescent="0.35">
      <c r="A3" s="347" t="s">
        <v>517</v>
      </c>
      <c r="B3" s="347"/>
      <c r="C3" s="347"/>
      <c r="D3" s="347"/>
      <c r="E3" s="347"/>
      <c r="F3" s="350"/>
      <c r="G3" s="24"/>
      <c r="H3" s="160"/>
      <c r="I3" s="160"/>
      <c r="J3" s="160"/>
      <c r="K3" s="160"/>
      <c r="L3" s="160"/>
      <c r="M3" s="160"/>
      <c r="N3" s="161"/>
      <c r="O3" s="161"/>
      <c r="P3" s="161"/>
      <c r="Q3" s="161"/>
      <c r="R3" s="161"/>
      <c r="S3" s="161"/>
      <c r="T3" s="161"/>
      <c r="U3" s="161"/>
    </row>
    <row r="4" spans="1:21" ht="57.75" customHeight="1" thickBot="1" x14ac:dyDescent="0.35">
      <c r="A4" s="348" t="str">
        <f ca="1">Translations!$G$114</f>
        <v xml:space="preserve">Veuillez lire attentivement les consignes données dans l'onglet « Instructions » avant de compléter le tableau d'analyse des déficits programmatiques. 
Les instructions ont été adaptées à chaque module/intervention. </v>
      </c>
      <c r="B4" s="348"/>
      <c r="C4" s="348"/>
      <c r="D4" s="348"/>
      <c r="E4" s="348"/>
      <c r="F4" s="348"/>
      <c r="G4" s="163"/>
    </row>
    <row r="5" spans="1:21" ht="18.5" thickBot="1" x14ac:dyDescent="0.35">
      <c r="A5" s="117" t="str">
        <f ca="1">Translations!$A$3</f>
        <v>VIH/sida</v>
      </c>
      <c r="B5" s="164"/>
      <c r="C5" s="164"/>
      <c r="D5" s="164"/>
      <c r="E5" s="164"/>
      <c r="F5" s="165"/>
    </row>
    <row r="6" spans="1:21" ht="15.5" x14ac:dyDescent="0.3">
      <c r="A6" s="166" t="str">
        <f ca="1">Translations!$A$88</f>
        <v>Tableau des déficits programmatiques pour le VIH/sida - Programmes de distribution d'aiguilles et de seringues</v>
      </c>
      <c r="B6" s="167"/>
      <c r="C6" s="167"/>
      <c r="D6" s="167"/>
      <c r="E6" s="167"/>
      <c r="F6" s="168"/>
    </row>
    <row r="7" spans="1:21" ht="27" customHeight="1" x14ac:dyDescent="0.3">
      <c r="A7" s="124" t="str">
        <f ca="1">Translations!$A$10</f>
        <v>Module prioritaire</v>
      </c>
      <c r="B7" s="351" t="str">
        <f ca="1">Translations!$A$85</f>
        <v>Prévention - personnes qui s'injectent des drogues et leurs partenaires</v>
      </c>
      <c r="C7" s="352"/>
      <c r="D7" s="352"/>
      <c r="E7" s="352"/>
      <c r="F7" s="353"/>
    </row>
    <row r="8" spans="1:21" ht="21.75" customHeight="1" x14ac:dyDescent="0.3">
      <c r="A8" s="124" t="str">
        <f ca="1">Translations!$A$11</f>
        <v>Indicateur de couverture sélectionné</v>
      </c>
      <c r="B8" s="320" t="str">
        <f ca="1">Translations!$A$86</f>
        <v xml:space="preserve">Nombre d'aiguilles et de seringues distribuées </v>
      </c>
      <c r="C8" s="321"/>
      <c r="D8" s="321"/>
      <c r="E8" s="321"/>
      <c r="F8" s="322"/>
    </row>
    <row r="9" spans="1:21" ht="24" customHeight="1" x14ac:dyDescent="0.3">
      <c r="A9" s="125" t="str">
        <f ca="1">Translations!$A$12</f>
        <v>Population cible</v>
      </c>
      <c r="B9" s="169" t="str">
        <f ca="1">Translations!$A$87</f>
        <v>personnes qui s'injectent des drogues et leurs partenaires</v>
      </c>
      <c r="C9" s="195"/>
      <c r="D9" s="195"/>
      <c r="E9" s="195"/>
      <c r="F9" s="196"/>
    </row>
    <row r="10" spans="1:21" x14ac:dyDescent="0.3">
      <c r="A10" s="126" t="str">
        <f ca="1">Translations!$A$13</f>
        <v>Couverture nationale actuelle</v>
      </c>
      <c r="B10" s="172"/>
      <c r="C10" s="172"/>
      <c r="D10" s="172"/>
      <c r="E10" s="172"/>
      <c r="F10" s="173"/>
    </row>
    <row r="11" spans="1:21" ht="34.5" customHeight="1" x14ac:dyDescent="0.35">
      <c r="A11" s="129" t="str">
        <f ca="1">Translations!$A$14</f>
        <v>Indiquez les résultats les plus récents</v>
      </c>
      <c r="B11" s="53"/>
      <c r="C11" s="130" t="str">
        <f ca="1">Translations!$A$15</f>
        <v>Année</v>
      </c>
      <c r="D11" s="54"/>
      <c r="E11" s="131" t="str">
        <f ca="1">Translations!$A$16</f>
        <v>Source des données</v>
      </c>
      <c r="F11" s="55"/>
    </row>
    <row r="12" spans="1:21" ht="18.75" customHeight="1" thickBot="1" x14ac:dyDescent="0.35">
      <c r="A12" s="132" t="str">
        <f ca="1">Translations!$A$17</f>
        <v>Observations</v>
      </c>
      <c r="B12" s="323"/>
      <c r="C12" s="324"/>
      <c r="D12" s="324"/>
      <c r="E12" s="324"/>
      <c r="F12" s="325"/>
    </row>
    <row r="13" spans="1:21" ht="15" thickBot="1" x14ac:dyDescent="0.35">
      <c r="A13" s="133"/>
      <c r="B13" s="134"/>
      <c r="C13" s="134"/>
      <c r="D13" s="134"/>
      <c r="E13" s="134"/>
      <c r="F13" s="135"/>
    </row>
    <row r="14" spans="1:21" x14ac:dyDescent="0.3">
      <c r="A14" s="329"/>
      <c r="B14" s="330"/>
      <c r="C14" s="136" t="str">
        <f ca="1">Translations!$A$18</f>
        <v>Année 1</v>
      </c>
      <c r="D14" s="136" t="str">
        <f ca="1">Translations!$A$19</f>
        <v>Année 2</v>
      </c>
      <c r="E14" s="136" t="str">
        <f ca="1">Translations!$A$20</f>
        <v>Année 3</v>
      </c>
      <c r="F14" s="333" t="str">
        <f ca="1">Translations!$A$22</f>
        <v>Observations/Hypothèses</v>
      </c>
    </row>
    <row r="15" spans="1:21" ht="28.5" customHeight="1" x14ac:dyDescent="0.3">
      <c r="A15" s="331"/>
      <c r="B15" s="332"/>
      <c r="C15" s="56" t="str">
        <f ca="1">Translations!$A$21</f>
        <v>Indiquez l'année</v>
      </c>
      <c r="D15" s="56" t="str">
        <f ca="1">Translations!$A$21</f>
        <v>Indiquez l'année</v>
      </c>
      <c r="E15" s="56" t="str">
        <f ca="1">Translations!$A$21</f>
        <v>Indiquez l'année</v>
      </c>
      <c r="F15" s="334"/>
    </row>
    <row r="16" spans="1:21" x14ac:dyDescent="0.3">
      <c r="A16" s="137" t="str">
        <f ca="1">Translations!$A$23</f>
        <v>Estimation des besoins actuels du pays</v>
      </c>
      <c r="B16" s="174"/>
      <c r="C16" s="174"/>
      <c r="D16" s="174"/>
      <c r="E16" s="174"/>
      <c r="F16" s="175"/>
      <c r="G16" s="148"/>
    </row>
    <row r="17" spans="1:7" ht="42" x14ac:dyDescent="0.3">
      <c r="A17" s="157" t="str">
        <f ca="1">Translations!$A$24</f>
        <v>A. Estimation du total des populations dans le besoin/à risque (Prévention VIH)</v>
      </c>
      <c r="B17" s="176" t="s">
        <v>7</v>
      </c>
      <c r="C17" s="82"/>
      <c r="D17" s="82"/>
      <c r="E17" s="82"/>
      <c r="F17" s="65"/>
      <c r="G17" s="177"/>
    </row>
    <row r="18" spans="1:7" ht="34.5" customHeight="1" x14ac:dyDescent="0.3">
      <c r="A18" s="158" t="str">
        <f ca="1">Translations!$A$89</f>
        <v>Nombre d'aiguilles et de seringues à distribuer par personne et par an</v>
      </c>
      <c r="B18" s="176" t="s">
        <v>7</v>
      </c>
      <c r="C18" s="82"/>
      <c r="D18" s="82"/>
      <c r="E18" s="82"/>
      <c r="F18" s="65"/>
      <c r="G18" s="177"/>
    </row>
    <row r="19" spans="1:7" ht="33" customHeight="1" x14ac:dyDescent="0.3">
      <c r="A19" s="157" t="str">
        <f ca="1">Translations!$A$90</f>
        <v>A. Nombre total d'aiguilles et de seringues nécessaire</v>
      </c>
      <c r="B19" s="197" t="s">
        <v>7</v>
      </c>
      <c r="C19" s="200">
        <f>(C17*C18)</f>
        <v>0</v>
      </c>
      <c r="D19" s="201">
        <f>(D17*D18)</f>
        <v>0</v>
      </c>
      <c r="E19" s="201">
        <f>(E17*E18)</f>
        <v>0</v>
      </c>
      <c r="F19" s="65"/>
      <c r="G19" s="198"/>
    </row>
    <row r="20" spans="1:7" ht="42" x14ac:dyDescent="0.3">
      <c r="A20" s="158" t="str">
        <f ca="1">Translations!$A$91</f>
        <v>B. Cible du pays - Nombre d'aiguilles et de seringues à distribuer (à partir du plan stratégique national)</v>
      </c>
      <c r="B20" s="176" t="s">
        <v>7</v>
      </c>
      <c r="C20" s="82"/>
      <c r="D20" s="82"/>
      <c r="E20" s="83"/>
      <c r="F20" s="65"/>
    </row>
    <row r="21" spans="1:7" ht="23.25" customHeight="1" x14ac:dyDescent="0.3">
      <c r="A21" s="126" t="str">
        <f ca="1">Translations!$A$42</f>
        <v>Cible nationale déjà couverte</v>
      </c>
      <c r="B21" s="172"/>
      <c r="C21" s="172"/>
      <c r="D21" s="172"/>
      <c r="E21" s="172"/>
      <c r="F21" s="182"/>
    </row>
    <row r="22" spans="1:7" ht="20.25" customHeight="1" x14ac:dyDescent="0.3">
      <c r="A22" s="318" t="str">
        <f ca="1">Translations!$A$43</f>
        <v>C1. Cible nationale devant être couverte par des ressources nationales</v>
      </c>
      <c r="B22" s="176" t="s">
        <v>7</v>
      </c>
      <c r="C22" s="67"/>
      <c r="D22" s="67"/>
      <c r="E22" s="67"/>
      <c r="F22" s="77"/>
      <c r="G22" s="183"/>
    </row>
    <row r="23" spans="1:7" ht="21" customHeight="1" x14ac:dyDescent="0.3">
      <c r="A23" s="319"/>
      <c r="B23" s="176" t="s">
        <v>15</v>
      </c>
      <c r="C23" s="68" t="str">
        <f>IF(C22=0,"",(C22/C20))</f>
        <v/>
      </c>
      <c r="D23" s="68" t="str">
        <f>IF(D22=0,"",+D22/(D20))</f>
        <v/>
      </c>
      <c r="E23" s="68" t="str">
        <f>IF(E22=0,"",+E22/(E20))</f>
        <v/>
      </c>
      <c r="F23" s="78"/>
    </row>
    <row r="24" spans="1:7" ht="18.75" customHeight="1" x14ac:dyDescent="0.3">
      <c r="A24" s="318" t="str">
        <f ca="1">Translations!$A$44</f>
        <v>C2. Cible nationale devant être couverte par des ressources extérieures</v>
      </c>
      <c r="B24" s="176" t="s">
        <v>7</v>
      </c>
      <c r="C24" s="67"/>
      <c r="D24" s="199"/>
      <c r="E24" s="199"/>
      <c r="F24" s="75"/>
    </row>
    <row r="25" spans="1:7" ht="20.25" customHeight="1" x14ac:dyDescent="0.3">
      <c r="A25" s="319"/>
      <c r="B25" s="176" t="s">
        <v>15</v>
      </c>
      <c r="C25" s="68" t="str">
        <f>IF(C24=0,"",+C24/(C20))</f>
        <v/>
      </c>
      <c r="D25" s="68" t="str">
        <f>IF(D24=0,"",+D24/(D20))</f>
        <v/>
      </c>
      <c r="E25" s="68" t="str">
        <f>IF(E24=0,"",+E24/(E20))</f>
        <v/>
      </c>
      <c r="F25" s="76"/>
    </row>
    <row r="26" spans="1:7" ht="23.25" customHeight="1" x14ac:dyDescent="0.3">
      <c r="A26" s="318" t="str">
        <f ca="1">Translations!$A$45</f>
        <v>C3. Total de la cible nationale déjà couvert</v>
      </c>
      <c r="B26" s="176" t="s">
        <v>7</v>
      </c>
      <c r="C26" s="84">
        <f>C22+(C24)</f>
        <v>0</v>
      </c>
      <c r="D26" s="84">
        <f>D22+(D24)</f>
        <v>0</v>
      </c>
      <c r="E26" s="84">
        <f>E22+(E24)</f>
        <v>0</v>
      </c>
      <c r="F26" s="109"/>
    </row>
    <row r="27" spans="1:7" ht="24" customHeight="1" x14ac:dyDescent="0.3">
      <c r="A27" s="319"/>
      <c r="B27" s="176" t="s">
        <v>15</v>
      </c>
      <c r="C27" s="68" t="str">
        <f>IF(C26=0,"",C26/C20)</f>
        <v/>
      </c>
      <c r="D27" s="68" t="str">
        <f>IF(D26=0,"",D26/D20)</f>
        <v/>
      </c>
      <c r="E27" s="68" t="str">
        <f>IF(E26=0,"",E26/E20)</f>
        <v/>
      </c>
      <c r="F27" s="110"/>
    </row>
    <row r="28" spans="1:7" x14ac:dyDescent="0.3">
      <c r="A28" s="137" t="str">
        <f ca="1">Translations!$A$30</f>
        <v>Déficit programmatique</v>
      </c>
      <c r="B28" s="185"/>
      <c r="C28" s="185"/>
      <c r="D28" s="185"/>
      <c r="E28" s="185"/>
      <c r="F28" s="186"/>
    </row>
    <row r="29" spans="1:7" ht="24" customHeight="1" x14ac:dyDescent="0.3">
      <c r="A29" s="360" t="str">
        <f ca="1">Translations!$A$92</f>
        <v>D. Déficit annuel attendu par rapport aux besoins - aiguilles et seringues : 
B - C3</v>
      </c>
      <c r="B29" s="176" t="s">
        <v>7</v>
      </c>
      <c r="C29" s="70">
        <f>C20-C26</f>
        <v>0</v>
      </c>
      <c r="D29" s="70">
        <f>D20-D26</f>
        <v>0</v>
      </c>
      <c r="E29" s="70">
        <f>E20-E26</f>
        <v>0</v>
      </c>
      <c r="F29" s="362"/>
    </row>
    <row r="30" spans="1:7" ht="26.25" customHeight="1" x14ac:dyDescent="0.3">
      <c r="A30" s="361"/>
      <c r="B30" s="176" t="s">
        <v>15</v>
      </c>
      <c r="C30" s="68" t="str">
        <f>IF(C29=0,"",+C29/C20)</f>
        <v/>
      </c>
      <c r="D30" s="68" t="str">
        <f>IF(D29=0,"",+D29/D20)</f>
        <v/>
      </c>
      <c r="E30" s="68" t="str">
        <f>IF(E29=0,"",+E29/E20)</f>
        <v/>
      </c>
      <c r="F30" s="363"/>
    </row>
    <row r="31" spans="1:7" x14ac:dyDescent="0.3">
      <c r="A31" s="137" t="str">
        <f ca="1">Translations!$A$47</f>
        <v>Cible nationale déjà couverte par la somme allouée</v>
      </c>
      <c r="B31" s="188"/>
      <c r="C31" s="188"/>
      <c r="D31" s="188"/>
      <c r="E31" s="188"/>
      <c r="F31" s="189"/>
    </row>
    <row r="32" spans="1:7" ht="21.75" customHeight="1" x14ac:dyDescent="0.3">
      <c r="A32" s="360" t="str">
        <f ca="1">Translations!$A$93</f>
        <v>E. Cibles devant être financées par la somme allouée - aiguilles et seringues</v>
      </c>
      <c r="B32" s="180" t="s">
        <v>7</v>
      </c>
      <c r="C32" s="67"/>
      <c r="D32" s="67"/>
      <c r="E32" s="67"/>
      <c r="F32" s="362"/>
    </row>
    <row r="33" spans="1:7" ht="24" customHeight="1" x14ac:dyDescent="0.3">
      <c r="A33" s="361"/>
      <c r="B33" s="180" t="s">
        <v>15</v>
      </c>
      <c r="C33" s="68" t="str">
        <f>IF(C32=0,"",+C32/C20)</f>
        <v/>
      </c>
      <c r="D33" s="68" t="str">
        <f>IF(D32=0,"",+D32/D20)</f>
        <v/>
      </c>
      <c r="E33" s="68" t="str">
        <f>IF(E32=0,"",+E32/E20)</f>
        <v/>
      </c>
      <c r="F33" s="363"/>
    </row>
    <row r="34" spans="1:7" ht="31.5" customHeight="1" x14ac:dyDescent="0.3">
      <c r="A34" s="364" t="str">
        <f ca="1">Translations!$A$94</f>
        <v>F. Couverture par la somme allouée et d'autres ressources - aiguilles et seringues :  E + C3</v>
      </c>
      <c r="B34" s="190" t="s">
        <v>7</v>
      </c>
      <c r="C34" s="71">
        <f>+C32+C26</f>
        <v>0</v>
      </c>
      <c r="D34" s="71">
        <f>+D32+D26</f>
        <v>0</v>
      </c>
      <c r="E34" s="71">
        <f>+E32+E26</f>
        <v>0</v>
      </c>
      <c r="F34" s="355"/>
      <c r="G34" s="177"/>
    </row>
    <row r="35" spans="1:7" ht="27" customHeight="1" x14ac:dyDescent="0.3">
      <c r="A35" s="365"/>
      <c r="B35" s="191" t="s">
        <v>15</v>
      </c>
      <c r="C35" s="68" t="str">
        <f>IF(C34=0,"",+C34/C20)</f>
        <v/>
      </c>
      <c r="D35" s="68" t="str">
        <f>IF(D34=0,"",+D34/D20)</f>
        <v/>
      </c>
      <c r="E35" s="68" t="str">
        <f>IF(E34=0,"",+E34/E20)</f>
        <v/>
      </c>
      <c r="F35" s="356"/>
    </row>
    <row r="36" spans="1:7" ht="19.5" customHeight="1" x14ac:dyDescent="0.3">
      <c r="A36" s="354" t="str">
        <f ca="1">Translations!$A$95</f>
        <v>G. Déficit restant - aiguilles et seringues : B - F</v>
      </c>
      <c r="B36" s="190" t="s">
        <v>7</v>
      </c>
      <c r="C36" s="192">
        <f>C20-C34</f>
        <v>0</v>
      </c>
      <c r="D36" s="192">
        <f>D20-D34</f>
        <v>0</v>
      </c>
      <c r="E36" s="192">
        <f>E20-E34</f>
        <v>0</v>
      </c>
      <c r="F36" s="355"/>
    </row>
    <row r="37" spans="1:7" ht="18.75" customHeight="1" thickBot="1" x14ac:dyDescent="0.35">
      <c r="A37" s="336"/>
      <c r="B37" s="191" t="s">
        <v>15</v>
      </c>
      <c r="C37" s="68" t="str">
        <f>IF(C36=0,"",+C36/C20)</f>
        <v/>
      </c>
      <c r="D37" s="68" t="str">
        <f>IF(D36=0,"",+D36/D20)</f>
        <v/>
      </c>
      <c r="E37" s="68" t="str">
        <f>IF(E36=0,"",+E36/E20)</f>
        <v/>
      </c>
      <c r="F37" s="356"/>
    </row>
    <row r="38" spans="1:7" ht="15" customHeight="1" thickBot="1" x14ac:dyDescent="0.35">
      <c r="A38" s="357" t="str">
        <f ca="1">Translations!$A$49</f>
        <v>Toutes les cibles en % des rangées C à G sont basées sur les valeurs numériques de la rangée B.</v>
      </c>
      <c r="B38" s="358"/>
      <c r="C38" s="358"/>
      <c r="D38" s="358"/>
      <c r="E38" s="358"/>
      <c r="F38" s="359"/>
    </row>
  </sheetData>
  <sheetProtection algorithmName="SHA-512" hashValue="mPjrA5Rb2NmdCFJUA60GG2vUgknCs/c4oRbbxND7NAnflxMyOwxPvL2l0yd0boFkdt2lDcqK1jGjjwRHULQpnQ==" saltValue="KbG0Q5omilEz1Qm8rItyIg==" spinCount="100000" sheet="1" formatColumns="0" formatRows="0"/>
  <mergeCells count="22">
    <mergeCell ref="A36:A37"/>
    <mergeCell ref="F36:F37"/>
    <mergeCell ref="A38:F38"/>
    <mergeCell ref="A26:A27"/>
    <mergeCell ref="A29:A30"/>
    <mergeCell ref="F29:F30"/>
    <mergeCell ref="A32:A33"/>
    <mergeCell ref="F32:F33"/>
    <mergeCell ref="A34:A35"/>
    <mergeCell ref="F34:F35"/>
    <mergeCell ref="A24:A25"/>
    <mergeCell ref="A1:E1"/>
    <mergeCell ref="A2:E2"/>
    <mergeCell ref="A3:E3"/>
    <mergeCell ref="A4:F4"/>
    <mergeCell ref="B7:F7"/>
    <mergeCell ref="B8:F8"/>
    <mergeCell ref="B12:F12"/>
    <mergeCell ref="A14:B15"/>
    <mergeCell ref="F14:F15"/>
    <mergeCell ref="A22:A23"/>
    <mergeCell ref="F1:F3"/>
  </mergeCells>
  <pageMargins left="0.7" right="0.7" top="0.75" bottom="0.75" header="0.3" footer="0.3"/>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8"/>
  </sheetPr>
  <dimension ref="A1:V36"/>
  <sheetViews>
    <sheetView view="pageBreakPreview" topLeftCell="A24" zoomScale="120" zoomScaleNormal="80" zoomScaleSheetLayoutView="120" workbookViewId="0">
      <selection activeCell="F22" sqref="F22"/>
    </sheetView>
  </sheetViews>
  <sheetFormatPr baseColWidth="10" defaultColWidth="9" defaultRowHeight="14" x14ac:dyDescent="0.3"/>
  <cols>
    <col min="1" max="1" width="30" style="113" customWidth="1"/>
    <col min="2" max="2" width="8.33203125" style="113" customWidth="1"/>
    <col min="3" max="5" width="11.58203125" style="113" customWidth="1"/>
    <col min="6" max="6" width="84.25" style="113" customWidth="1"/>
    <col min="7" max="7" width="37.58203125" style="156" customWidth="1"/>
    <col min="8" max="8" width="15.08203125" style="113" customWidth="1"/>
    <col min="9" max="9" width="21.58203125" style="113" customWidth="1"/>
    <col min="10" max="10" width="9" style="113"/>
    <col min="11" max="11" width="10.08203125" style="113" customWidth="1"/>
    <col min="12" max="12" width="10.58203125" style="113" customWidth="1"/>
    <col min="13" max="13" width="12.08203125" style="113" customWidth="1"/>
    <col min="14" max="16384" width="9" style="113"/>
  </cols>
  <sheetData>
    <row r="1" spans="1:22" ht="22.5" customHeight="1" x14ac:dyDescent="0.3">
      <c r="A1" s="346" t="s">
        <v>24</v>
      </c>
      <c r="B1" s="346"/>
      <c r="C1" s="346"/>
      <c r="D1" s="346"/>
      <c r="E1" s="346"/>
      <c r="F1" s="372" t="str">
        <f ca="1">Translations!$G$116</f>
        <v>Dernière version mise à jour mars 2020</v>
      </c>
      <c r="G1" s="115"/>
      <c r="H1" s="24"/>
      <c r="I1" s="25"/>
      <c r="J1" s="25"/>
      <c r="K1" s="25"/>
      <c r="L1" s="25"/>
      <c r="M1" s="25"/>
      <c r="N1" s="25"/>
      <c r="O1" s="26"/>
      <c r="P1" s="26"/>
      <c r="Q1" s="26"/>
      <c r="R1" s="26"/>
      <c r="S1" s="26"/>
      <c r="T1" s="26"/>
      <c r="U1" s="26"/>
      <c r="V1" s="26"/>
    </row>
    <row r="2" spans="1:22" ht="22.5" customHeight="1" x14ac:dyDescent="0.3">
      <c r="A2" s="347" t="s">
        <v>516</v>
      </c>
      <c r="B2" s="347"/>
      <c r="C2" s="347"/>
      <c r="D2" s="347"/>
      <c r="E2" s="347"/>
      <c r="F2" s="373"/>
      <c r="G2" s="115"/>
      <c r="H2" s="24"/>
      <c r="I2" s="25"/>
      <c r="J2" s="25"/>
      <c r="K2" s="25"/>
      <c r="L2" s="25"/>
      <c r="M2" s="25"/>
      <c r="N2" s="25"/>
      <c r="O2" s="26"/>
      <c r="P2" s="26"/>
      <c r="Q2" s="26"/>
      <c r="R2" s="26"/>
      <c r="S2" s="26"/>
      <c r="T2" s="26"/>
      <c r="U2" s="26"/>
      <c r="V2" s="26"/>
    </row>
    <row r="3" spans="1:22" ht="22.5" customHeight="1" thickBot="1" x14ac:dyDescent="0.35">
      <c r="A3" s="347" t="s">
        <v>517</v>
      </c>
      <c r="B3" s="347"/>
      <c r="C3" s="347"/>
      <c r="D3" s="347"/>
      <c r="E3" s="347"/>
      <c r="F3" s="373"/>
      <c r="G3" s="115"/>
      <c r="H3" s="24"/>
      <c r="I3" s="25"/>
      <c r="J3" s="25"/>
      <c r="K3" s="25"/>
      <c r="L3" s="25"/>
      <c r="M3" s="25"/>
      <c r="N3" s="25"/>
      <c r="O3" s="26"/>
      <c r="P3" s="26"/>
      <c r="Q3" s="26"/>
      <c r="R3" s="26"/>
      <c r="S3" s="26"/>
      <c r="T3" s="26"/>
      <c r="U3" s="26"/>
      <c r="V3" s="26"/>
    </row>
    <row r="4" spans="1:22" ht="56.25" customHeight="1" thickBot="1" x14ac:dyDescent="0.35">
      <c r="A4" s="370" t="str">
        <f ca="1">Translations!$G$114</f>
        <v xml:space="preserve">Veuillez lire attentivement les consignes données dans l'onglet « Instructions » avant de compléter le tableau d'analyse des déficits programmatiques. 
Les instructions ont été adaptées à chaque module/intervention. </v>
      </c>
      <c r="B4" s="348"/>
      <c r="C4" s="348"/>
      <c r="D4" s="348"/>
      <c r="E4" s="348"/>
      <c r="F4" s="371"/>
      <c r="G4" s="366"/>
      <c r="H4" s="366"/>
    </row>
    <row r="5" spans="1:22" ht="18.5" thickBot="1" x14ac:dyDescent="0.35">
      <c r="A5" s="117" t="str">
        <f ca="1">Translations!$A$3</f>
        <v>VIH/sida</v>
      </c>
      <c r="B5" s="118"/>
      <c r="C5" s="118"/>
      <c r="D5" s="118"/>
      <c r="E5" s="118"/>
      <c r="F5" s="119"/>
      <c r="G5" s="153"/>
    </row>
    <row r="6" spans="1:22" ht="14.25" customHeight="1" x14ac:dyDescent="0.3">
      <c r="A6" s="154" t="str">
        <f ca="1">Translations!$A$53</f>
        <v>Tableau des déficits programmatiques - Prophylaxie pré-exposition</v>
      </c>
      <c r="B6" s="155"/>
      <c r="C6" s="155"/>
      <c r="D6" s="155"/>
      <c r="E6" s="155"/>
      <c r="F6" s="123"/>
    </row>
    <row r="7" spans="1:22" ht="21" customHeight="1" x14ac:dyDescent="0.3">
      <c r="A7" s="124" t="str">
        <f ca="1">Translations!$A$10</f>
        <v>Module prioritaire</v>
      </c>
      <c r="B7" s="351" t="str">
        <f ca="1">Translations!$A$51</f>
        <v>Prévention - populations clés - PrEP</v>
      </c>
      <c r="C7" s="352"/>
      <c r="D7" s="352"/>
      <c r="E7" s="352"/>
      <c r="F7" s="353"/>
    </row>
    <row r="8" spans="1:22" ht="35" customHeight="1" x14ac:dyDescent="0.3">
      <c r="A8" s="124" t="str">
        <f ca="1">Translations!$A$11</f>
        <v>Indicateur de couverture sélectionné</v>
      </c>
      <c r="B8" s="320" t="str">
        <f ca="1">Translations!$A$52</f>
        <v xml:space="preserve">Pourcentage de populations clés éligibles qui ont initié une PrEP antiretrovirale orale au cours des 12 derniers mois </v>
      </c>
      <c r="C8" s="321"/>
      <c r="D8" s="321"/>
      <c r="E8" s="321"/>
      <c r="F8" s="322"/>
    </row>
    <row r="9" spans="1:22" ht="22.5" customHeight="1" x14ac:dyDescent="0.3">
      <c r="A9" s="125" t="str">
        <f ca="1">Translations!$A$12</f>
        <v>Population cible</v>
      </c>
      <c r="B9" s="367" t="s">
        <v>1172</v>
      </c>
      <c r="C9" s="368"/>
      <c r="D9" s="368"/>
      <c r="E9" s="368"/>
      <c r="F9" s="369"/>
    </row>
    <row r="10" spans="1:22" x14ac:dyDescent="0.3">
      <c r="A10" s="126" t="str">
        <f ca="1">Translations!$A$13</f>
        <v>Couverture nationale actuelle</v>
      </c>
      <c r="B10" s="127"/>
      <c r="C10" s="127"/>
      <c r="D10" s="127"/>
      <c r="E10" s="127"/>
      <c r="F10" s="128"/>
      <c r="G10" s="374"/>
    </row>
    <row r="11" spans="1:22" ht="35.25" customHeight="1" x14ac:dyDescent="0.3">
      <c r="A11" s="129" t="str">
        <f ca="1">Translations!$A$14</f>
        <v>Indiquez les résultats les plus récents</v>
      </c>
      <c r="B11" s="53">
        <v>0</v>
      </c>
      <c r="C11" s="130" t="str">
        <f ca="1">Translations!$A$15</f>
        <v>Année</v>
      </c>
      <c r="D11" s="56">
        <v>2019</v>
      </c>
      <c r="E11" s="131" t="str">
        <f ca="1">Translations!$A$16</f>
        <v>Source des données</v>
      </c>
      <c r="F11" s="72" t="s">
        <v>1188</v>
      </c>
      <c r="G11" s="375"/>
    </row>
    <row r="12" spans="1:22" ht="27.75" customHeight="1" thickBot="1" x14ac:dyDescent="0.35">
      <c r="A12" s="132" t="str">
        <f ca="1">Translations!$A$17</f>
        <v>Observations</v>
      </c>
      <c r="B12" s="323"/>
      <c r="C12" s="324"/>
      <c r="D12" s="324"/>
      <c r="E12" s="324"/>
      <c r="F12" s="325"/>
      <c r="G12" s="375"/>
    </row>
    <row r="13" spans="1:22" ht="15" thickBot="1" x14ac:dyDescent="0.35">
      <c r="A13" s="133"/>
      <c r="B13" s="134"/>
      <c r="C13" s="134"/>
      <c r="D13" s="134"/>
      <c r="E13" s="134"/>
      <c r="F13" s="135"/>
      <c r="G13" s="376"/>
    </row>
    <row r="14" spans="1:22" x14ac:dyDescent="0.3">
      <c r="A14" s="329"/>
      <c r="B14" s="330"/>
      <c r="C14" s="136" t="str">
        <f ca="1">Translations!$A$18</f>
        <v>Année 1</v>
      </c>
      <c r="D14" s="136" t="str">
        <f ca="1">Translations!$A$19</f>
        <v>Année 2</v>
      </c>
      <c r="E14" s="136" t="str">
        <f ca="1">Translations!$A$20</f>
        <v>Année 3</v>
      </c>
      <c r="F14" s="333" t="str">
        <f ca="1">Translations!$A$22</f>
        <v>Observations/Hypothèses</v>
      </c>
      <c r="G14" s="113"/>
    </row>
    <row r="15" spans="1:22" ht="28.5" customHeight="1" x14ac:dyDescent="0.3">
      <c r="A15" s="331"/>
      <c r="B15" s="332"/>
      <c r="C15" s="56">
        <v>2021</v>
      </c>
      <c r="D15" s="56">
        <v>2022</v>
      </c>
      <c r="E15" s="56">
        <v>2023</v>
      </c>
      <c r="F15" s="334"/>
      <c r="G15" s="113"/>
    </row>
    <row r="16" spans="1:22" ht="15" customHeight="1" x14ac:dyDescent="0.3">
      <c r="A16" s="137" t="str">
        <f ca="1">Translations!$A$23</f>
        <v>Estimation des besoins actuels du pays</v>
      </c>
      <c r="B16" s="143"/>
      <c r="C16" s="143"/>
      <c r="D16" s="143"/>
      <c r="E16" s="143"/>
      <c r="F16" s="144"/>
    </row>
    <row r="17" spans="1:7" ht="51" customHeight="1" x14ac:dyDescent="0.3">
      <c r="A17" s="157" t="str">
        <f ca="1">Translations!$A$24</f>
        <v>A. Estimation du total des populations dans le besoin/à risque (Prévention VIH)</v>
      </c>
      <c r="B17" s="141" t="s">
        <v>7</v>
      </c>
      <c r="C17" s="230">
        <v>51164</v>
      </c>
      <c r="D17" s="230">
        <v>52494</v>
      </c>
      <c r="E17" s="230">
        <v>53859</v>
      </c>
      <c r="F17" s="72" t="s">
        <v>1183</v>
      </c>
      <c r="G17" s="113"/>
    </row>
    <row r="18" spans="1:7" ht="38" customHeight="1" x14ac:dyDescent="0.3">
      <c r="A18" s="158" t="str">
        <f ca="1">Translations!$A$25</f>
        <v>B. Cibles du pays
(à partir du plan stratégique national)</v>
      </c>
      <c r="B18" s="142" t="s">
        <v>7</v>
      </c>
      <c r="C18" s="230">
        <f>C17*3.5%</f>
        <v>1790.7400000000002</v>
      </c>
      <c r="D18" s="230">
        <f>D17*5%</f>
        <v>2624.7000000000003</v>
      </c>
      <c r="E18" s="230">
        <f>E17*6.5%</f>
        <v>3500.835</v>
      </c>
      <c r="F18" s="72" t="s">
        <v>1243</v>
      </c>
      <c r="G18" s="113"/>
    </row>
    <row r="19" spans="1:7" ht="15" customHeight="1" x14ac:dyDescent="0.3">
      <c r="A19" s="126" t="str">
        <f ca="1">Translations!$A$42</f>
        <v>Cible nationale déjà couverte</v>
      </c>
      <c r="B19" s="127"/>
      <c r="C19" s="127"/>
      <c r="D19" s="127"/>
      <c r="E19" s="127"/>
      <c r="F19" s="128"/>
      <c r="G19" s="159"/>
    </row>
    <row r="20" spans="1:7" ht="32" customHeight="1" x14ac:dyDescent="0.3">
      <c r="A20" s="318" t="str">
        <f ca="1">Translations!$A$43</f>
        <v>C1. Cible nationale devant être couverte par des ressources nationales</v>
      </c>
      <c r="B20" s="141" t="s">
        <v>7</v>
      </c>
      <c r="C20" s="230">
        <v>0</v>
      </c>
      <c r="D20" s="230">
        <v>0</v>
      </c>
      <c r="E20" s="230">
        <v>0</v>
      </c>
      <c r="F20" s="340" t="s">
        <v>1209</v>
      </c>
      <c r="G20" s="113"/>
    </row>
    <row r="21" spans="1:7" ht="30.5" customHeight="1" x14ac:dyDescent="0.3">
      <c r="A21" s="319"/>
      <c r="B21" s="141" t="s">
        <v>15</v>
      </c>
      <c r="C21" s="23" t="str">
        <f>IF(C20=0,"",+C20/C18)</f>
        <v/>
      </c>
      <c r="D21" s="23" t="str">
        <f>IF(D20=0,"",+D20/D18)</f>
        <v/>
      </c>
      <c r="E21" s="23" t="str">
        <f>IF(E20=0,"",+E20/E18)</f>
        <v/>
      </c>
      <c r="F21" s="341"/>
      <c r="G21" s="113"/>
    </row>
    <row r="22" spans="1:7" ht="42" customHeight="1" x14ac:dyDescent="0.3">
      <c r="A22" s="318" t="str">
        <f ca="1">Translations!$A$44</f>
        <v>C2. Cible nationale devant être couverte par des ressources extérieures</v>
      </c>
      <c r="B22" s="141" t="s">
        <v>7</v>
      </c>
      <c r="C22" s="230">
        <f>1104+500</f>
        <v>1604</v>
      </c>
      <c r="D22" s="230">
        <v>1104</v>
      </c>
      <c r="E22" s="230">
        <v>1104</v>
      </c>
      <c r="F22" s="292" t="s">
        <v>1240</v>
      </c>
      <c r="G22" s="113"/>
    </row>
    <row r="23" spans="1:7" ht="42" customHeight="1" x14ac:dyDescent="0.3">
      <c r="A23" s="319"/>
      <c r="B23" s="141" t="s">
        <v>15</v>
      </c>
      <c r="C23" s="62">
        <f>IF(C22=0,"",+C22/C18)</f>
        <v>0.89571908819817492</v>
      </c>
      <c r="D23" s="62">
        <f>IF(D22=0,"",+D22/D18)</f>
        <v>0.42061949937135668</v>
      </c>
      <c r="E23" s="62">
        <f>IF(E22=0,"",+E22/E18)</f>
        <v>0.31535333713242697</v>
      </c>
      <c r="F23" s="292"/>
      <c r="G23" s="113"/>
    </row>
    <row r="24" spans="1:7" ht="42" customHeight="1" x14ac:dyDescent="0.3">
      <c r="A24" s="318" t="str">
        <f ca="1">Translations!$A$45</f>
        <v>C3. Total de la cible nationale déjà couvert</v>
      </c>
      <c r="B24" s="141" t="s">
        <v>7</v>
      </c>
      <c r="C24" s="64">
        <f>C20+C22</f>
        <v>1604</v>
      </c>
      <c r="D24" s="64">
        <f>D20+D22</f>
        <v>1104</v>
      </c>
      <c r="E24" s="64">
        <f>E20+E22</f>
        <v>1104</v>
      </c>
      <c r="F24" s="292"/>
      <c r="G24" s="113"/>
    </row>
    <row r="25" spans="1:7" ht="42" customHeight="1" x14ac:dyDescent="0.3">
      <c r="A25" s="319"/>
      <c r="B25" s="141" t="s">
        <v>15</v>
      </c>
      <c r="C25" s="62">
        <f>IF(C24=0,"",+C24/C18)</f>
        <v>0.89571908819817492</v>
      </c>
      <c r="D25" s="62">
        <f>IF(D24=0,"",+D24/D18)</f>
        <v>0.42061949937135668</v>
      </c>
      <c r="E25" s="62">
        <f>IF(E24=0,"",+E24/E18)</f>
        <v>0.31535333713242697</v>
      </c>
      <c r="F25" s="73"/>
      <c r="G25" s="113"/>
    </row>
    <row r="26" spans="1:7" x14ac:dyDescent="0.3">
      <c r="A26" s="137" t="str">
        <f ca="1">Translations!$A$30</f>
        <v>Déficit programmatique</v>
      </c>
      <c r="B26" s="143"/>
      <c r="C26" s="143"/>
      <c r="D26" s="143"/>
      <c r="E26" s="143"/>
      <c r="F26" s="144"/>
      <c r="G26" s="159"/>
    </row>
    <row r="27" spans="1:7" ht="42" customHeight="1" x14ac:dyDescent="0.3">
      <c r="A27" s="335" t="str">
        <f ca="1">Translations!$A$46</f>
        <v>D. Déficit annuel attendu par rapport à la cible nationale : B - C3</v>
      </c>
      <c r="B27" s="141" t="s">
        <v>7</v>
      </c>
      <c r="C27" s="64">
        <f>+C18-C24</f>
        <v>186.74000000000024</v>
      </c>
      <c r="D27" s="64">
        <f>+D18-D24</f>
        <v>1520.7000000000003</v>
      </c>
      <c r="E27" s="64">
        <f>+E18-E24</f>
        <v>2396.835</v>
      </c>
      <c r="F27" s="340"/>
      <c r="G27" s="113"/>
    </row>
    <row r="28" spans="1:7" ht="42" customHeight="1" x14ac:dyDescent="0.3">
      <c r="A28" s="336"/>
      <c r="B28" s="141" t="s">
        <v>15</v>
      </c>
      <c r="C28" s="62">
        <f>IF(C27=0,"",+C27/C18)</f>
        <v>0.10428091180182507</v>
      </c>
      <c r="D28" s="62">
        <f>IF(D27=0,"",+D27/D18)</f>
        <v>0.57938050062864332</v>
      </c>
      <c r="E28" s="62">
        <f>IF(E27=0,"",+E27/E18)</f>
        <v>0.68464666286757303</v>
      </c>
      <c r="F28" s="341"/>
      <c r="G28" s="113"/>
    </row>
    <row r="29" spans="1:7" ht="15" customHeight="1" x14ac:dyDescent="0.3">
      <c r="A29" s="137" t="str">
        <f ca="1">Translations!$A$47</f>
        <v>Cible nationale déjà couverte par la somme allouée</v>
      </c>
      <c r="B29" s="143"/>
      <c r="C29" s="143"/>
      <c r="D29" s="143"/>
      <c r="E29" s="143"/>
      <c r="F29" s="144"/>
      <c r="G29" s="159"/>
    </row>
    <row r="30" spans="1:7" ht="34.5" customHeight="1" x14ac:dyDescent="0.3">
      <c r="A30" s="335" t="str">
        <f ca="1">Translations!$A$33</f>
        <v>E. Cibles devant être financées par la somme allouée</v>
      </c>
      <c r="B30" s="142" t="s">
        <v>7</v>
      </c>
      <c r="C30" s="230">
        <f>C18*30%*3/33</f>
        <v>48.838363636363638</v>
      </c>
      <c r="D30" s="230">
        <f>D18*30%*16/33</f>
        <v>381.77454545454549</v>
      </c>
      <c r="E30" s="230">
        <f>30%*E18</f>
        <v>1050.2504999999999</v>
      </c>
      <c r="F30" s="340" t="s">
        <v>1242</v>
      </c>
      <c r="G30" s="113"/>
    </row>
    <row r="31" spans="1:7" ht="27" customHeight="1" x14ac:dyDescent="0.3">
      <c r="A31" s="336"/>
      <c r="B31" s="142" t="s">
        <v>15</v>
      </c>
      <c r="C31" s="62">
        <f>IF(C30=0,"",+C30/C18)</f>
        <v>2.7272727272727271E-2</v>
      </c>
      <c r="D31" s="62">
        <f>IF(D30=0,"",+D30/D18)</f>
        <v>0.14545454545454545</v>
      </c>
      <c r="E31" s="62">
        <f>IF(E30=0,"",+E30/E18)</f>
        <v>0.29999999999999993</v>
      </c>
      <c r="F31" s="341"/>
      <c r="G31" s="113"/>
    </row>
    <row r="32" spans="1:7" ht="33.75" customHeight="1" x14ac:dyDescent="0.3">
      <c r="A32" s="335" t="str">
        <f ca="1">Translations!$A$34</f>
        <v>F. Couverture par la somme allouée et d'autres ressources : E + C3</v>
      </c>
      <c r="B32" s="142" t="s">
        <v>7</v>
      </c>
      <c r="C32" s="64">
        <f>+C30+C24</f>
        <v>1652.8383636363637</v>
      </c>
      <c r="D32" s="64">
        <f>+D30+D24</f>
        <v>1485.7745454545454</v>
      </c>
      <c r="E32" s="64">
        <f>+E30+E24</f>
        <v>2154.2505000000001</v>
      </c>
      <c r="F32" s="340"/>
      <c r="G32" s="113"/>
    </row>
    <row r="33" spans="1:7" ht="27" customHeight="1" x14ac:dyDescent="0.3">
      <c r="A33" s="336"/>
      <c r="B33" s="142" t="s">
        <v>15</v>
      </c>
      <c r="C33" s="62">
        <f>IF(C32=0,"",+C32/C18)</f>
        <v>0.92299181547090225</v>
      </c>
      <c r="D33" s="62">
        <f>IF(D32=0,"",+D32/D18)</f>
        <v>0.56607404482590207</v>
      </c>
      <c r="E33" s="62">
        <f>IF(E32=0,"",+E32/E18)</f>
        <v>0.61535333713242701</v>
      </c>
      <c r="F33" s="341"/>
      <c r="G33" s="113"/>
    </row>
    <row r="34" spans="1:7" ht="34.5" customHeight="1" x14ac:dyDescent="0.3">
      <c r="A34" s="335" t="str">
        <f ca="1">Translations!$A$48</f>
        <v xml:space="preserve">G. Déficit restant : B - F </v>
      </c>
      <c r="B34" s="142" t="s">
        <v>7</v>
      </c>
      <c r="C34" s="64">
        <f>+C18-(C32)</f>
        <v>137.9016363636365</v>
      </c>
      <c r="D34" s="64">
        <f>+D18-(D32)</f>
        <v>1138.9254545454548</v>
      </c>
      <c r="E34" s="64">
        <f>+E18-(E32)</f>
        <v>1346.5844999999999</v>
      </c>
      <c r="F34" s="377"/>
      <c r="G34" s="113"/>
    </row>
    <row r="35" spans="1:7" ht="30.75" customHeight="1" thickBot="1" x14ac:dyDescent="0.35">
      <c r="A35" s="342"/>
      <c r="B35" s="142" t="s">
        <v>15</v>
      </c>
      <c r="C35" s="62">
        <f>IF(C34=0,"",+C34/C18)</f>
        <v>7.7008184529097731E-2</v>
      </c>
      <c r="D35" s="62">
        <f>IF(D34=0,"",+D34/D18)</f>
        <v>0.43392595517409788</v>
      </c>
      <c r="E35" s="62">
        <f>IF(E34=0,"",+E34/E18)</f>
        <v>0.38464666286757299</v>
      </c>
      <c r="F35" s="356"/>
      <c r="G35" s="113"/>
    </row>
    <row r="36" spans="1:7" ht="15" customHeight="1" thickBot="1" x14ac:dyDescent="0.35">
      <c r="A36" s="357" t="str">
        <f ca="1">Translations!$A$49</f>
        <v>Toutes les cibles en % des rangées C à G sont basées sur les valeurs numériques de la rangée B.</v>
      </c>
      <c r="B36" s="358"/>
      <c r="C36" s="358"/>
      <c r="D36" s="358"/>
      <c r="E36" s="358"/>
      <c r="F36" s="359"/>
      <c r="G36" s="159"/>
    </row>
  </sheetData>
  <sheetProtection password="E205" sheet="1" formatColumns="0" formatRows="0"/>
  <mergeCells count="26">
    <mergeCell ref="A22:A23"/>
    <mergeCell ref="A24:A25"/>
    <mergeCell ref="A27:A28"/>
    <mergeCell ref="F27:F28"/>
    <mergeCell ref="A36:F36"/>
    <mergeCell ref="A30:A31"/>
    <mergeCell ref="F30:F31"/>
    <mergeCell ref="A32:A33"/>
    <mergeCell ref="F32:F33"/>
    <mergeCell ref="A34:A35"/>
    <mergeCell ref="F34:F35"/>
    <mergeCell ref="G10:G13"/>
    <mergeCell ref="B12:F12"/>
    <mergeCell ref="A14:B15"/>
    <mergeCell ref="F14:F15"/>
    <mergeCell ref="A20:A21"/>
    <mergeCell ref="F20:F21"/>
    <mergeCell ref="G4:H4"/>
    <mergeCell ref="B9:F9"/>
    <mergeCell ref="A1:E1"/>
    <mergeCell ref="A2:E2"/>
    <mergeCell ref="A3:E3"/>
    <mergeCell ref="A4:F4"/>
    <mergeCell ref="B7:F7"/>
    <mergeCell ref="B8:F8"/>
    <mergeCell ref="F1:F3"/>
  </mergeCells>
  <dataValidations count="1">
    <dataValidation type="list" allowBlank="1" showInputMessage="1" showErrorMessage="1" sqref="B9:F9" xr:uid="{00000000-0002-0000-0400-000000000000}">
      <formula1>KeyPopPrep</formula1>
    </dataValidation>
  </dataValidations>
  <pageMargins left="0.7" right="0.7" top="0.75" bottom="0.75" header="0.3" footer="0.3"/>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8"/>
  </sheetPr>
  <dimension ref="A1:U56"/>
  <sheetViews>
    <sheetView tabSelected="1" view="pageBreakPreview" topLeftCell="A18" zoomScale="80" zoomScaleNormal="80" zoomScaleSheetLayoutView="80" zoomScalePageLayoutView="80" workbookViewId="0">
      <selection activeCell="F44" sqref="F44:F45"/>
    </sheetView>
  </sheetViews>
  <sheetFormatPr baseColWidth="10" defaultColWidth="9" defaultRowHeight="14" x14ac:dyDescent="0.3"/>
  <cols>
    <col min="1" max="1" width="41.25" style="162" customWidth="1"/>
    <col min="2" max="2" width="11.83203125" style="162" customWidth="1"/>
    <col min="3" max="3" width="14.08203125" style="162" customWidth="1"/>
    <col min="4" max="4" width="14" style="162" customWidth="1"/>
    <col min="5" max="5" width="13.33203125" style="162" customWidth="1"/>
    <col min="6" max="6" width="84.4140625" style="162" customWidth="1"/>
    <col min="7" max="7" width="94.33203125" style="162" customWidth="1"/>
    <col min="8" max="8" width="21.58203125" style="162" customWidth="1"/>
    <col min="9" max="9" width="9" style="162"/>
    <col min="10" max="10" width="10.08203125" style="162" customWidth="1"/>
    <col min="11" max="11" width="10.58203125" style="162" customWidth="1"/>
    <col min="12" max="12" width="12.08203125" style="162" customWidth="1"/>
    <col min="13" max="16384" width="9" style="162"/>
  </cols>
  <sheetData>
    <row r="1" spans="1:21" ht="22.5" customHeight="1" x14ac:dyDescent="0.3">
      <c r="A1" s="346" t="s">
        <v>24</v>
      </c>
      <c r="B1" s="346"/>
      <c r="C1" s="346"/>
      <c r="D1" s="346"/>
      <c r="E1" s="346"/>
      <c r="F1" s="349" t="str">
        <f ca="1">Translations!$G$116</f>
        <v>Dernière version mise à jour mars 2020</v>
      </c>
      <c r="G1" s="24"/>
      <c r="H1" s="160"/>
      <c r="I1" s="160"/>
      <c r="J1" s="160"/>
      <c r="K1" s="160"/>
      <c r="L1" s="160"/>
      <c r="M1" s="160"/>
      <c r="N1" s="161"/>
      <c r="O1" s="161"/>
      <c r="P1" s="161"/>
      <c r="Q1" s="161"/>
      <c r="R1" s="161"/>
      <c r="S1" s="161"/>
      <c r="T1" s="161"/>
      <c r="U1" s="161"/>
    </row>
    <row r="2" spans="1:21" ht="22.5" customHeight="1" x14ac:dyDescent="0.3">
      <c r="A2" s="347" t="s">
        <v>516</v>
      </c>
      <c r="B2" s="347"/>
      <c r="C2" s="347"/>
      <c r="D2" s="347"/>
      <c r="E2" s="347"/>
      <c r="F2" s="350"/>
      <c r="G2" s="24"/>
      <c r="H2" s="160"/>
      <c r="I2" s="160"/>
      <c r="J2" s="160"/>
      <c r="K2" s="160"/>
      <c r="L2" s="160"/>
      <c r="M2" s="160"/>
      <c r="N2" s="161"/>
      <c r="O2" s="161"/>
      <c r="P2" s="161"/>
      <c r="Q2" s="161"/>
      <c r="R2" s="161"/>
      <c r="S2" s="161"/>
      <c r="T2" s="161"/>
      <c r="U2" s="161"/>
    </row>
    <row r="3" spans="1:21" ht="22.5" customHeight="1" thickBot="1" x14ac:dyDescent="0.35">
      <c r="A3" s="347" t="s">
        <v>517</v>
      </c>
      <c r="B3" s="347"/>
      <c r="C3" s="347"/>
      <c r="D3" s="347"/>
      <c r="E3" s="347"/>
      <c r="F3" s="350"/>
      <c r="G3" s="24"/>
      <c r="H3" s="160"/>
      <c r="I3" s="160"/>
      <c r="J3" s="160"/>
      <c r="K3" s="160"/>
      <c r="L3" s="160"/>
      <c r="M3" s="160"/>
      <c r="N3" s="161"/>
      <c r="O3" s="161"/>
      <c r="P3" s="161"/>
      <c r="Q3" s="161"/>
      <c r="R3" s="161"/>
      <c r="S3" s="161"/>
      <c r="T3" s="161"/>
      <c r="U3" s="161"/>
    </row>
    <row r="4" spans="1:21" ht="56.25" customHeight="1" thickBot="1" x14ac:dyDescent="0.35">
      <c r="A4" s="348" t="str">
        <f ca="1">Translations!$G$114</f>
        <v xml:space="preserve">Veuillez lire attentivement les consignes données dans l'onglet « Instructions » avant de compléter le tableau d'analyse des déficits programmatiques. 
Les instructions ont été adaptées à chaque module/intervention. </v>
      </c>
      <c r="B4" s="348"/>
      <c r="C4" s="348"/>
      <c r="D4" s="348"/>
      <c r="E4" s="348"/>
      <c r="F4" s="348"/>
      <c r="G4" s="163"/>
    </row>
    <row r="5" spans="1:21" ht="18.5" thickBot="1" x14ac:dyDescent="0.35">
      <c r="A5" s="117" t="str">
        <f ca="1">Translations!$A$3</f>
        <v>VIH/sida</v>
      </c>
      <c r="B5" s="164"/>
      <c r="C5" s="164"/>
      <c r="D5" s="164"/>
      <c r="E5" s="164"/>
      <c r="F5" s="165"/>
    </row>
    <row r="6" spans="1:21" ht="14.25" customHeight="1" x14ac:dyDescent="0.3">
      <c r="A6" s="166" t="str">
        <f ca="1">Translations!$A$55</f>
        <v>Tableau des déficits programmatiques pour le VIH/sida - Préservatifs</v>
      </c>
      <c r="B6" s="167"/>
      <c r="C6" s="167"/>
      <c r="D6" s="167"/>
      <c r="E6" s="167"/>
      <c r="F6" s="168"/>
    </row>
    <row r="7" spans="1:21" ht="20.25" customHeight="1" x14ac:dyDescent="0.3">
      <c r="A7" s="124" t="str">
        <f ca="1">Translations!$A$10</f>
        <v>Module prioritaire</v>
      </c>
      <c r="B7" s="382" t="str">
        <f ca="1">Translations!$A$56</f>
        <v>Prévention -  Programmation et gestion du préservatif au niveau national</v>
      </c>
      <c r="C7" s="383"/>
      <c r="D7" s="383"/>
      <c r="E7" s="383"/>
      <c r="F7" s="384"/>
    </row>
    <row r="8" spans="1:21" ht="33.75" customHeight="1" x14ac:dyDescent="0.3">
      <c r="A8" s="124" t="str">
        <f ca="1">Translations!$A$11</f>
        <v>Indicateur de couverture sélectionné</v>
      </c>
      <c r="B8" s="320" t="str">
        <f ca="1">Translations!$A$57</f>
        <v>Nombre de préservatifs distribués par le programme (masculins et féminins)</v>
      </c>
      <c r="C8" s="321"/>
      <c r="D8" s="321"/>
      <c r="E8" s="321"/>
      <c r="F8" s="322"/>
    </row>
    <row r="9" spans="1:21" ht="22.5" customHeight="1" x14ac:dyDescent="0.3">
      <c r="A9" s="125" t="str">
        <f ca="1">Translations!$A$12</f>
        <v>Population cible</v>
      </c>
      <c r="B9" s="169" t="str">
        <f ca="1">Translations!$A$58</f>
        <v>toutes les populations prioritaires</v>
      </c>
      <c r="C9" s="170"/>
      <c r="D9" s="170"/>
      <c r="E9" s="170"/>
      <c r="F9" s="171"/>
    </row>
    <row r="10" spans="1:21" x14ac:dyDescent="0.3">
      <c r="A10" s="126" t="str">
        <f ca="1">Translations!$A$13</f>
        <v>Couverture nationale actuelle</v>
      </c>
      <c r="B10" s="172"/>
      <c r="C10" s="172"/>
      <c r="D10" s="172"/>
      <c r="E10" s="172"/>
      <c r="F10" s="173"/>
    </row>
    <row r="11" spans="1:21" ht="35.25" customHeight="1" x14ac:dyDescent="0.3">
      <c r="A11" s="129" t="str">
        <f ca="1">Translations!$A$14</f>
        <v>Indiquez les résultats les plus récents</v>
      </c>
      <c r="B11" s="295">
        <v>24371112</v>
      </c>
      <c r="C11" s="130" t="str">
        <f ca="1">Translations!$A$15</f>
        <v>Année</v>
      </c>
      <c r="D11" s="56">
        <v>2019</v>
      </c>
      <c r="E11" s="131" t="str">
        <f ca="1">Translations!$A$16</f>
        <v>Source des données</v>
      </c>
      <c r="F11" s="292" t="s">
        <v>1166</v>
      </c>
    </row>
    <row r="12" spans="1:21" ht="34.5" customHeight="1" thickBot="1" x14ac:dyDescent="0.35">
      <c r="A12" s="132" t="str">
        <f ca="1">Translations!$A$17</f>
        <v>Observations</v>
      </c>
      <c r="B12" s="323" t="s">
        <v>1245</v>
      </c>
      <c r="C12" s="324"/>
      <c r="D12" s="324"/>
      <c r="E12" s="324"/>
      <c r="F12" s="325"/>
    </row>
    <row r="13" spans="1:21" ht="15" thickBot="1" x14ac:dyDescent="0.35">
      <c r="A13" s="133"/>
      <c r="B13" s="134"/>
      <c r="C13" s="134"/>
      <c r="D13" s="134"/>
      <c r="E13" s="134"/>
      <c r="F13" s="135"/>
    </row>
    <row r="14" spans="1:21" x14ac:dyDescent="0.3">
      <c r="A14" s="329"/>
      <c r="B14" s="330"/>
      <c r="C14" s="136" t="str">
        <f ca="1">Translations!$A$18</f>
        <v>Année 1</v>
      </c>
      <c r="D14" s="136" t="str">
        <f ca="1">Translations!$A$19</f>
        <v>Année 2</v>
      </c>
      <c r="E14" s="136" t="str">
        <f ca="1">Translations!$A$20</f>
        <v>Année 3</v>
      </c>
      <c r="F14" s="333" t="str">
        <f ca="1">Translations!$A$22</f>
        <v>Observations/Hypothèses</v>
      </c>
    </row>
    <row r="15" spans="1:21" ht="28.5" customHeight="1" x14ac:dyDescent="0.3">
      <c r="A15" s="331"/>
      <c r="B15" s="332"/>
      <c r="C15" s="56">
        <v>2021</v>
      </c>
      <c r="D15" s="56">
        <v>2022</v>
      </c>
      <c r="E15" s="56">
        <v>2023</v>
      </c>
      <c r="F15" s="334"/>
    </row>
    <row r="16" spans="1:21" ht="15" customHeight="1" x14ac:dyDescent="0.3">
      <c r="A16" s="137" t="str">
        <f ca="1">Translations!$A$23</f>
        <v>Estimation des besoins actuels du pays</v>
      </c>
      <c r="B16" s="174"/>
      <c r="C16" s="174"/>
      <c r="D16" s="174"/>
      <c r="E16" s="174"/>
      <c r="F16" s="175"/>
      <c r="G16" s="148"/>
    </row>
    <row r="17" spans="1:7" ht="42" customHeight="1" x14ac:dyDescent="0.3">
      <c r="A17" s="157" t="str">
        <f ca="1">Translations!$A$24</f>
        <v>A. Estimation du total des populations dans le besoin/à risque (Prévention VIH)</v>
      </c>
      <c r="B17" s="176" t="s">
        <v>7</v>
      </c>
      <c r="C17" s="231">
        <v>3853876</v>
      </c>
      <c r="D17" s="231">
        <v>3954077</v>
      </c>
      <c r="E17" s="231">
        <v>4056883</v>
      </c>
      <c r="F17" s="292" t="s">
        <v>1180</v>
      </c>
      <c r="G17" s="177"/>
    </row>
    <row r="18" spans="1:7" ht="33" customHeight="1" x14ac:dyDescent="0.3">
      <c r="A18" s="178" t="str">
        <f ca="1">Translations!$A$59</f>
        <v>A1. Nombre total de préservatifs masculins nécessaires</v>
      </c>
      <c r="B18" s="176" t="s">
        <v>7</v>
      </c>
      <c r="C18" s="231">
        <f>110404973*99%</f>
        <v>109300923.27</v>
      </c>
      <c r="D18" s="231">
        <f>125404652*98%</f>
        <v>122896558.95999999</v>
      </c>
      <c r="E18" s="231">
        <f>140404331*97%</f>
        <v>136192201.06999999</v>
      </c>
      <c r="F18" s="292" t="s">
        <v>1225</v>
      </c>
    </row>
    <row r="19" spans="1:7" ht="35.25" customHeight="1" x14ac:dyDescent="0.3">
      <c r="A19" s="178" t="str">
        <f ca="1">Translations!$A$60</f>
        <v>A2. Nombre total de préservatifs féminins nécessaires</v>
      </c>
      <c r="B19" s="176" t="s">
        <v>7</v>
      </c>
      <c r="C19" s="231">
        <f>110404973*1.2%</f>
        <v>1324859.676</v>
      </c>
      <c r="D19" s="231">
        <f>125404652*1.3%</f>
        <v>1630260.4760000003</v>
      </c>
      <c r="E19" s="231">
        <f>140404331*1.4%</f>
        <v>1965660.6339999998</v>
      </c>
      <c r="F19" s="292" t="s">
        <v>1229</v>
      </c>
    </row>
    <row r="20" spans="1:7" ht="45" customHeight="1" x14ac:dyDescent="0.3">
      <c r="A20" s="179" t="str">
        <f ca="1">Translations!$A$61</f>
        <v>B1. Cibles du pays- préservatifs masculins
(à partir du plan stratégique national)</v>
      </c>
      <c r="B20" s="176" t="s">
        <v>7</v>
      </c>
      <c r="C20" s="231">
        <f>C18*48.6%</f>
        <v>53120248.70922</v>
      </c>
      <c r="D20" s="231">
        <f t="shared" ref="D20:E20" si="0">D18*48.6%</f>
        <v>59727727.654559992</v>
      </c>
      <c r="E20" s="231">
        <f t="shared" si="0"/>
        <v>66189409.720019996</v>
      </c>
      <c r="F20" s="292" t="s">
        <v>1226</v>
      </c>
    </row>
    <row r="21" spans="1:7" ht="47.25" customHeight="1" x14ac:dyDescent="0.3">
      <c r="A21" s="179" t="str">
        <f ca="1">Translations!$A$62</f>
        <v>B2. Cibles du pays- préservatifs féminins
(à partir du plan stratégique national)</v>
      </c>
      <c r="B21" s="180" t="s">
        <v>7</v>
      </c>
      <c r="C21" s="231">
        <f>C19*48.6%</f>
        <v>643881.80253599992</v>
      </c>
      <c r="D21" s="231">
        <f t="shared" ref="D21:E21" si="1">D19*48.6%</f>
        <v>792306.59133600013</v>
      </c>
      <c r="E21" s="231">
        <f t="shared" si="1"/>
        <v>955311.06812399987</v>
      </c>
      <c r="F21" s="292" t="s">
        <v>1227</v>
      </c>
      <c r="G21" s="177"/>
    </row>
    <row r="22" spans="1:7" x14ac:dyDescent="0.3">
      <c r="A22" s="181" t="str">
        <f ca="1">Translations!$A$63</f>
        <v>Cible nationale déjà couverte par des sources de financement</v>
      </c>
      <c r="B22" s="172"/>
      <c r="C22" s="172"/>
      <c r="D22" s="172"/>
      <c r="E22" s="172"/>
      <c r="F22" s="182"/>
    </row>
    <row r="23" spans="1:7" ht="68.150000000000006" customHeight="1" x14ac:dyDescent="0.3">
      <c r="A23" s="381" t="str">
        <f ca="1">Translations!$A$64</f>
        <v>C1. Cible nationale devant être couverte par des ressources nationales, y compris le secteur privé, le cas échéant</v>
      </c>
      <c r="B23" s="176" t="s">
        <v>7</v>
      </c>
      <c r="C23" s="231">
        <v>0</v>
      </c>
      <c r="D23" s="231">
        <v>0</v>
      </c>
      <c r="E23" s="231">
        <v>0</v>
      </c>
      <c r="F23" s="292" t="s">
        <v>1181</v>
      </c>
      <c r="G23" s="183"/>
    </row>
    <row r="24" spans="1:7" ht="38.25" customHeight="1" x14ac:dyDescent="0.3">
      <c r="A24" s="365"/>
      <c r="B24" s="176" t="s">
        <v>15</v>
      </c>
      <c r="C24" s="68" t="str">
        <f>IF(C23=0,"",+C23/(C20+C21))</f>
        <v/>
      </c>
      <c r="D24" s="68" t="str">
        <f>IF(D23=0,"",+D23/(D20+D21))</f>
        <v/>
      </c>
      <c r="E24" s="68" t="str">
        <f>IF(E23=0,"",+E23/(E20+E21))</f>
        <v/>
      </c>
      <c r="F24" s="78"/>
    </row>
    <row r="25" spans="1:7" ht="73.5" customHeight="1" x14ac:dyDescent="0.3">
      <c r="A25" s="381" t="str">
        <f ca="1">Translations!$A$65</f>
        <v>C2. Cible nationale devant être couverte par des ressources extérieures</v>
      </c>
      <c r="B25" s="176" t="s">
        <v>7</v>
      </c>
      <c r="C25" s="231">
        <f>20500000+1945296+3563400</f>
        <v>26008696</v>
      </c>
      <c r="D25" s="231">
        <f>20500000+1795000</f>
        <v>22295000</v>
      </c>
      <c r="E25" s="231">
        <f>20500000+1795000</f>
        <v>22295000</v>
      </c>
      <c r="F25" s="296" t="s">
        <v>1228</v>
      </c>
    </row>
    <row r="26" spans="1:7" ht="32.25" customHeight="1" x14ac:dyDescent="0.3">
      <c r="A26" s="365"/>
      <c r="B26" s="176" t="s">
        <v>15</v>
      </c>
      <c r="C26" s="68">
        <f>IF(C25=0,"",+C25/(C20+C21))</f>
        <v>0.48375554021678019</v>
      </c>
      <c r="D26" s="68">
        <f>IF(D25=0,"",+D25/(D20+D21))</f>
        <v>0.36839040621514318</v>
      </c>
      <c r="E26" s="68">
        <f>IF(E25=0,"",+E25/(E20+E21))</f>
        <v>0.33204397513760631</v>
      </c>
      <c r="F26" s="76"/>
    </row>
    <row r="27" spans="1:7" ht="32.25" customHeight="1" x14ac:dyDescent="0.3">
      <c r="A27" s="381" t="str">
        <f ca="1">Translations!$A$66</f>
        <v>C3 Total de la cible nationale qui devrait être couvert (C1 + C2)</v>
      </c>
      <c r="B27" s="176" t="s">
        <v>7</v>
      </c>
      <c r="C27" s="69">
        <f>+C23+C25</f>
        <v>26008696</v>
      </c>
      <c r="D27" s="69">
        <f>+D23+D25</f>
        <v>22295000</v>
      </c>
      <c r="E27" s="69">
        <f>+E23+E25</f>
        <v>22295000</v>
      </c>
      <c r="F27" s="109"/>
    </row>
    <row r="28" spans="1:7" ht="29.25" customHeight="1" x14ac:dyDescent="0.3">
      <c r="A28" s="365"/>
      <c r="B28" s="176" t="s">
        <v>15</v>
      </c>
      <c r="C28" s="68">
        <f>IF(C27=0,"",+C27/(C20+C21))</f>
        <v>0.48375554021678019</v>
      </c>
      <c r="D28" s="68">
        <f>IF(D27=0,"",+D27/(D20+D21))</f>
        <v>0.36839040621514318</v>
      </c>
      <c r="E28" s="68">
        <f>IF(E27=0,"",+E27/(E20+E21))</f>
        <v>0.33204397513760631</v>
      </c>
      <c r="F28" s="110"/>
    </row>
    <row r="29" spans="1:7" x14ac:dyDescent="0.3">
      <c r="A29" s="184" t="str">
        <f ca="1">Translations!$A$67</f>
        <v>Cible nationale déjà couverte par type de préservatif</v>
      </c>
      <c r="B29" s="185"/>
      <c r="C29" s="185"/>
      <c r="D29" s="185"/>
      <c r="E29" s="185"/>
      <c r="F29" s="186"/>
    </row>
    <row r="30" spans="1:7" ht="92.5" customHeight="1" x14ac:dyDescent="0.3">
      <c r="A30" s="381" t="str">
        <f ca="1">Translations!$A$68</f>
        <v>C4. Cible nationale qui devrait être couverte (ressources nationales et extérieures) - préservatifs masculins</v>
      </c>
      <c r="B30" s="187" t="s">
        <v>7</v>
      </c>
      <c r="C30" s="231">
        <f>20000000+1912770+3470400</f>
        <v>25383170</v>
      </c>
      <c r="D30" s="231">
        <f>20000000+1750000</f>
        <v>21750000</v>
      </c>
      <c r="E30" s="231">
        <f>20000000+1750000</f>
        <v>21750000</v>
      </c>
      <c r="F30" s="292" t="s">
        <v>1246</v>
      </c>
      <c r="G30" s="177"/>
    </row>
    <row r="31" spans="1:7" ht="24.75" customHeight="1" x14ac:dyDescent="0.3">
      <c r="A31" s="365"/>
      <c r="B31" s="176" t="s">
        <v>15</v>
      </c>
      <c r="C31" s="68">
        <f>IF(C30=0,"",+C30/C20)</f>
        <v>0.47784358350706069</v>
      </c>
      <c r="D31" s="68">
        <f>IF(D30=0,"",+D30/D20)</f>
        <v>0.36415247748571372</v>
      </c>
      <c r="E31" s="68">
        <f>IF(E30=0,"",+E30/E20)</f>
        <v>0.32860241679147928</v>
      </c>
      <c r="F31" s="78"/>
    </row>
    <row r="32" spans="1:7" ht="54" customHeight="1" x14ac:dyDescent="0.3">
      <c r="A32" s="381" t="str">
        <f ca="1">Translations!$A$69</f>
        <v>C5. Cible nationale qui devrait être couverte (ressources nationales et extérieures) - préservatifs féminins</v>
      </c>
      <c r="B32" s="176" t="s">
        <v>7</v>
      </c>
      <c r="C32" s="231">
        <f>500000+32526+93000</f>
        <v>625526</v>
      </c>
      <c r="D32" s="231">
        <f>500000+45000</f>
        <v>545000</v>
      </c>
      <c r="E32" s="231">
        <f>500000+45000</f>
        <v>545000</v>
      </c>
      <c r="F32" s="292" t="s">
        <v>1182</v>
      </c>
    </row>
    <row r="33" spans="1:7" ht="36" customHeight="1" x14ac:dyDescent="0.3">
      <c r="A33" s="365"/>
      <c r="B33" s="176" t="s">
        <v>15</v>
      </c>
      <c r="C33" s="68">
        <f>IF(C32=0,"",+C32/C21)</f>
        <v>0.97149196876864119</v>
      </c>
      <c r="D33" s="68">
        <f>IF(D32=0,"",+D32/D21)</f>
        <v>0.68786503351059114</v>
      </c>
      <c r="E33" s="68">
        <f>IF(E32=0,"",+E32/E21)</f>
        <v>0.57049480340497716</v>
      </c>
      <c r="F33" s="76"/>
    </row>
    <row r="34" spans="1:7" ht="32.25" customHeight="1" x14ac:dyDescent="0.3">
      <c r="A34" s="381" t="str">
        <f ca="1">Translations!$A$70</f>
        <v>C6. Total de la cible nationale qui devrait être couvert (masculins + féminins) (C1 + C2)</v>
      </c>
      <c r="B34" s="176" t="s">
        <v>7</v>
      </c>
      <c r="C34" s="69">
        <f>C30+C32</f>
        <v>26008696</v>
      </c>
      <c r="D34" s="69">
        <f>D30+D32</f>
        <v>22295000</v>
      </c>
      <c r="E34" s="69">
        <f>E30+E32</f>
        <v>22295000</v>
      </c>
      <c r="F34" s="109"/>
    </row>
    <row r="35" spans="1:7" ht="33" customHeight="1" x14ac:dyDescent="0.3">
      <c r="A35" s="365"/>
      <c r="B35" s="176" t="s">
        <v>15</v>
      </c>
      <c r="C35" s="68">
        <f>IF(C34=0,"",+C34/(C20+C21))</f>
        <v>0.48375554021678019</v>
      </c>
      <c r="D35" s="68">
        <f>IF(D34=0,"",+D34/(D20+D21))</f>
        <v>0.36839040621514318</v>
      </c>
      <c r="E35" s="68">
        <f>IF(E34=0,"",+E34/(E20+E21))</f>
        <v>0.33204397513760631</v>
      </c>
      <c r="F35" s="110"/>
    </row>
    <row r="36" spans="1:7" x14ac:dyDescent="0.3">
      <c r="A36" s="137" t="str">
        <f ca="1">Translations!$A$71</f>
        <v>Déficit programmatique</v>
      </c>
      <c r="B36" s="185"/>
      <c r="C36" s="185"/>
      <c r="D36" s="185"/>
      <c r="E36" s="185"/>
      <c r="F36" s="186"/>
    </row>
    <row r="37" spans="1:7" ht="43.5" customHeight="1" x14ac:dyDescent="0.3">
      <c r="A37" s="360" t="str">
        <f ca="1">Translations!$A$72</f>
        <v>D1. Déficit annuel attendu par rapport aux besoins - préservatifs masculins : B1 - C4</v>
      </c>
      <c r="B37" s="176" t="s">
        <v>7</v>
      </c>
      <c r="C37" s="70">
        <f>+C20-C30</f>
        <v>27737078.70922</v>
      </c>
      <c r="D37" s="70">
        <f>+D20-D30</f>
        <v>37977727.654559992</v>
      </c>
      <c r="E37" s="70">
        <f>+E20-E30</f>
        <v>44439409.720019996</v>
      </c>
      <c r="F37" s="362"/>
    </row>
    <row r="38" spans="1:7" ht="38.25" customHeight="1" x14ac:dyDescent="0.3">
      <c r="A38" s="361"/>
      <c r="B38" s="176" t="s">
        <v>15</v>
      </c>
      <c r="C38" s="68">
        <f>IF(C37=0,"",+C37/C20)</f>
        <v>0.52215641649293931</v>
      </c>
      <c r="D38" s="68">
        <f>IF(D37=0,"",+D37/D20)</f>
        <v>0.63584752251428622</v>
      </c>
      <c r="E38" s="68">
        <f>IF(E37=0,"",+E37/E20)</f>
        <v>0.67139758320852072</v>
      </c>
      <c r="F38" s="363"/>
    </row>
    <row r="39" spans="1:7" ht="39" customHeight="1" x14ac:dyDescent="0.3">
      <c r="A39" s="360" t="str">
        <f ca="1">Translations!$A$73</f>
        <v>D2. Déficit annuel attendu par rapport aux besoins - préservatifs féminins : B2 - C5</v>
      </c>
      <c r="B39" s="176" t="s">
        <v>7</v>
      </c>
      <c r="C39" s="70">
        <f>+C21-C32</f>
        <v>18355.802535999916</v>
      </c>
      <c r="D39" s="70">
        <f>+D21-D32</f>
        <v>247306.59133600013</v>
      </c>
      <c r="E39" s="70">
        <f>+E21-E32</f>
        <v>410311.06812399987</v>
      </c>
      <c r="F39" s="362"/>
    </row>
    <row r="40" spans="1:7" ht="26.25" customHeight="1" x14ac:dyDescent="0.3">
      <c r="A40" s="361"/>
      <c r="B40" s="176" t="s">
        <v>15</v>
      </c>
      <c r="C40" s="68">
        <f>IF(C39=0,"",+C39/C21)</f>
        <v>2.8508031231358848E-2</v>
      </c>
      <c r="D40" s="68">
        <f>IF(D39=0,"",+D39/D21)</f>
        <v>0.3121349664894088</v>
      </c>
      <c r="E40" s="68">
        <f>IF(E39=0,"",+E39/E21)</f>
        <v>0.4295051965950229</v>
      </c>
      <c r="F40" s="363"/>
    </row>
    <row r="41" spans="1:7" ht="15" customHeight="1" x14ac:dyDescent="0.3">
      <c r="A41" s="181" t="str">
        <f ca="1">Translations!$A$74</f>
        <v>Cible nationale déjà couverte par la somme allouée</v>
      </c>
      <c r="B41" s="188"/>
      <c r="C41" s="188"/>
      <c r="D41" s="188"/>
      <c r="E41" s="188"/>
      <c r="F41" s="189"/>
    </row>
    <row r="42" spans="1:7" ht="42" customHeight="1" x14ac:dyDescent="0.3">
      <c r="A42" s="360" t="str">
        <f ca="1">Translations!$A$75</f>
        <v>E1. Cibles devant être financées par la somme allouée - préservatifs masculins</v>
      </c>
      <c r="B42" s="180" t="s">
        <v>7</v>
      </c>
      <c r="C42" s="231">
        <f>+C37*50%</f>
        <v>13868539.35461</v>
      </c>
      <c r="D42" s="231">
        <f>+D37*50%</f>
        <v>18988863.827279996</v>
      </c>
      <c r="E42" s="231">
        <f t="shared" ref="E42" si="2">+E37*50%</f>
        <v>22219704.860009998</v>
      </c>
      <c r="F42" s="340" t="s">
        <v>1244</v>
      </c>
    </row>
    <row r="43" spans="1:7" ht="52.5" customHeight="1" x14ac:dyDescent="0.3">
      <c r="A43" s="361"/>
      <c r="B43" s="180" t="s">
        <v>15</v>
      </c>
      <c r="C43" s="68">
        <f>IF(C42=0,"",+C42/C20)</f>
        <v>0.26107820824646966</v>
      </c>
      <c r="D43" s="68">
        <f>IF(D42=0,"",+D42/D20)</f>
        <v>0.31792376125714311</v>
      </c>
      <c r="E43" s="68">
        <f>IF(E42=0,"",+E42/E20)</f>
        <v>0.33569879160426036</v>
      </c>
      <c r="F43" s="341"/>
    </row>
    <row r="44" spans="1:7" ht="38.25" customHeight="1" x14ac:dyDescent="0.3">
      <c r="A44" s="360" t="str">
        <f ca="1">Translations!$A$76</f>
        <v>E2. Cibles devant être financées par la somme allouée - préservatifs féminins</v>
      </c>
      <c r="B44" s="180" t="s">
        <v>7</v>
      </c>
      <c r="C44" s="231">
        <v>0</v>
      </c>
      <c r="D44" s="231">
        <v>0</v>
      </c>
      <c r="E44" s="231">
        <v>0</v>
      </c>
      <c r="F44" s="340" t="s">
        <v>1248</v>
      </c>
    </row>
    <row r="45" spans="1:7" ht="38.5" customHeight="1" x14ac:dyDescent="0.3">
      <c r="A45" s="361"/>
      <c r="B45" s="180" t="s">
        <v>15</v>
      </c>
      <c r="C45" s="68" t="str">
        <f>IF(C44=0,"",+C44/C21)</f>
        <v/>
      </c>
      <c r="D45" s="68" t="str">
        <f>IF(D44=0,"",+D44/D21)</f>
        <v/>
      </c>
      <c r="E45" s="68" t="str">
        <f>IF(E44=0,"",+E44/E21)</f>
        <v/>
      </c>
      <c r="F45" s="341"/>
    </row>
    <row r="46" spans="1:7" ht="35" customHeight="1" x14ac:dyDescent="0.3">
      <c r="A46" s="364" t="str">
        <f ca="1">Translations!$A$77</f>
        <v>F1. Couverture par la somme allouée et d'autres ressources - préservatifs masculins :
 E1 + C4</v>
      </c>
      <c r="B46" s="190" t="s">
        <v>7</v>
      </c>
      <c r="C46" s="71">
        <f>+C42+C30</f>
        <v>39251709.354609996</v>
      </c>
      <c r="D46" s="71">
        <f>+D42+D30</f>
        <v>40738863.82728</v>
      </c>
      <c r="E46" s="71">
        <f>+E42+E30</f>
        <v>43969704.860009998</v>
      </c>
      <c r="F46" s="355"/>
      <c r="G46" s="177"/>
    </row>
    <row r="47" spans="1:7" ht="32.25" customHeight="1" x14ac:dyDescent="0.3">
      <c r="A47" s="365"/>
      <c r="B47" s="191" t="s">
        <v>15</v>
      </c>
      <c r="C47" s="68">
        <f>IF(C46=0,"",+C46/C18)</f>
        <v>0.35911599079221573</v>
      </c>
      <c r="D47" s="68">
        <f>IF(D46=0,"",+D46/D18)</f>
        <v>0.33148905202902845</v>
      </c>
      <c r="E47" s="68">
        <f>IF(E46=0,"",+E46/E18)</f>
        <v>0.32285038728032944</v>
      </c>
      <c r="F47" s="356"/>
    </row>
    <row r="48" spans="1:7" ht="26.25" customHeight="1" x14ac:dyDescent="0.3">
      <c r="A48" s="381" t="str">
        <f ca="1">Translations!$A$78</f>
        <v>F2. Couverture par la somme allouée et d'autres ressources - préservatifs féminins :
 E2 + C5</v>
      </c>
      <c r="B48" s="191" t="s">
        <v>7</v>
      </c>
      <c r="C48" s="70">
        <f>+C44+C32</f>
        <v>625526</v>
      </c>
      <c r="D48" s="70">
        <f>+D44+D32</f>
        <v>545000</v>
      </c>
      <c r="E48" s="70">
        <f>+E44+E32</f>
        <v>545000</v>
      </c>
      <c r="F48" s="107"/>
    </row>
    <row r="49" spans="1:6" ht="33.75" customHeight="1" x14ac:dyDescent="0.3">
      <c r="A49" s="365"/>
      <c r="B49" s="191" t="s">
        <v>15</v>
      </c>
      <c r="C49" s="68">
        <f>IF(C48=0,"",+C48/C19)</f>
        <v>0.47214509682155953</v>
      </c>
      <c r="D49" s="68">
        <f>IF(D48=0,"",+D48/D19)</f>
        <v>0.33430240628614732</v>
      </c>
      <c r="E49" s="68">
        <f>IF(E48=0,"",+E48/E19)</f>
        <v>0.27726047445481888</v>
      </c>
      <c r="F49" s="108"/>
    </row>
    <row r="50" spans="1:6" ht="29.25" customHeight="1" x14ac:dyDescent="0.3">
      <c r="A50" s="354" t="str">
        <f ca="1">Translations!$A$79</f>
        <v>G1. Déficit restant - préservatifs masculins : B1 - F1</v>
      </c>
      <c r="B50" s="190" t="s">
        <v>7</v>
      </c>
      <c r="C50" s="192">
        <f>C20-C46</f>
        <v>13868539.354610004</v>
      </c>
      <c r="D50" s="192">
        <f>D20-D46</f>
        <v>18988863.827279992</v>
      </c>
      <c r="E50" s="192">
        <f>E20-E46</f>
        <v>22219704.860009998</v>
      </c>
      <c r="F50" s="355"/>
    </row>
    <row r="51" spans="1:6" ht="29.25" customHeight="1" x14ac:dyDescent="0.3">
      <c r="A51" s="336"/>
      <c r="B51" s="191" t="s">
        <v>15</v>
      </c>
      <c r="C51" s="68">
        <f>IF(C50=0,"",+C50/C20)</f>
        <v>0.26107820824646971</v>
      </c>
      <c r="D51" s="68">
        <f>IF(D50=0,"",+D50/D20)</f>
        <v>0.31792376125714306</v>
      </c>
      <c r="E51" s="68">
        <f>IF(E50=0,"",+E50/E20)</f>
        <v>0.33569879160426036</v>
      </c>
      <c r="F51" s="356"/>
    </row>
    <row r="52" spans="1:6" ht="29.25" customHeight="1" x14ac:dyDescent="0.3">
      <c r="A52" s="335" t="str">
        <f ca="1">Translations!$A$80</f>
        <v>G2. Déficit restant - préservatifs féminins : B2 - F2</v>
      </c>
      <c r="B52" s="191" t="s">
        <v>7</v>
      </c>
      <c r="C52" s="193">
        <f>C21-C48</f>
        <v>18355.802535999916</v>
      </c>
      <c r="D52" s="193">
        <f>D21-D48</f>
        <v>247306.59133600013</v>
      </c>
      <c r="E52" s="193">
        <f>E21-E48</f>
        <v>410311.06812399987</v>
      </c>
      <c r="F52" s="66"/>
    </row>
    <row r="53" spans="1:6" ht="29.25" customHeight="1" x14ac:dyDescent="0.3">
      <c r="A53" s="336"/>
      <c r="B53" s="191" t="s">
        <v>15</v>
      </c>
      <c r="C53" s="68">
        <f>IF(C52=0,"",+C52/C21)</f>
        <v>2.8508031231358848E-2</v>
      </c>
      <c r="D53" s="68">
        <f>IF(D52=0,"",+D52/D21)</f>
        <v>0.3121349664894088</v>
      </c>
      <c r="E53" s="68">
        <f>IF(E52=0,"",+E52/E21)</f>
        <v>0.4295051965950229</v>
      </c>
      <c r="F53" s="66"/>
    </row>
    <row r="54" spans="1:6" ht="14.5" thickBot="1" x14ac:dyDescent="0.35">
      <c r="A54" s="378" t="str">
        <f ca="1">Translations!$A$81</f>
        <v>Toutes les cibles en % des rangées C à G sont basées sur les valeurs numériques des rangées B1 et B2.</v>
      </c>
      <c r="B54" s="379"/>
      <c r="C54" s="379"/>
      <c r="D54" s="379"/>
      <c r="E54" s="379"/>
      <c r="F54" s="380"/>
    </row>
    <row r="55" spans="1:6" x14ac:dyDescent="0.3">
      <c r="A55" s="148"/>
      <c r="B55" s="148"/>
      <c r="C55" s="148"/>
      <c r="D55" s="148"/>
      <c r="E55" s="148"/>
      <c r="F55" s="148"/>
    </row>
    <row r="56" spans="1:6" x14ac:dyDescent="0.3">
      <c r="A56" s="148"/>
      <c r="B56" s="148"/>
      <c r="C56" s="148"/>
      <c r="D56" s="148"/>
      <c r="E56" s="148"/>
      <c r="F56" s="148"/>
    </row>
  </sheetData>
  <sheetProtection algorithmName="SHA-512" hashValue="nRud1NvmG+rIRr6lIg5YWRVLAigHUNxCd7Ni8vSs0hKNoqBk65SmHKgTslGLPhm303iZ1Z81MVZBL83JCFeO4Q==" saltValue="cmz9OcJFlZqD/chr1+YdGw==" spinCount="100000" sheet="1" formatColumns="0" formatRows="0"/>
  <mergeCells count="31">
    <mergeCell ref="B8:F8"/>
    <mergeCell ref="A4:F4"/>
    <mergeCell ref="B12:F12"/>
    <mergeCell ref="F1:F3"/>
    <mergeCell ref="A39:A40"/>
    <mergeCell ref="A1:E1"/>
    <mergeCell ref="A2:E2"/>
    <mergeCell ref="A3:E3"/>
    <mergeCell ref="B7:F7"/>
    <mergeCell ref="A42:A43"/>
    <mergeCell ref="A44:A45"/>
    <mergeCell ref="A34:A35"/>
    <mergeCell ref="A25:A26"/>
    <mergeCell ref="A27:A28"/>
    <mergeCell ref="A32:A33"/>
    <mergeCell ref="A54:F54"/>
    <mergeCell ref="F44:F45"/>
    <mergeCell ref="A14:B15"/>
    <mergeCell ref="F14:F15"/>
    <mergeCell ref="F37:F38"/>
    <mergeCell ref="F39:F40"/>
    <mergeCell ref="F42:F43"/>
    <mergeCell ref="A46:A47"/>
    <mergeCell ref="F46:F47"/>
    <mergeCell ref="A50:A51"/>
    <mergeCell ref="F50:F51"/>
    <mergeCell ref="A48:A49"/>
    <mergeCell ref="A52:A53"/>
    <mergeCell ref="A23:A24"/>
    <mergeCell ref="A30:A31"/>
    <mergeCell ref="A37:A38"/>
  </mergeCells>
  <pageMargins left="0.7" right="0.7" top="0.75" bottom="0.75" header="0.3" footer="0.3"/>
  <pageSetup paperSize="8" scale="69" orientation="portrait" r:id="rId1"/>
  <rowBreaks count="1" manualBreakCount="1">
    <brk id="54" max="5" man="1"/>
  </rowBreaks>
  <ignoredErrors>
    <ignoredError sqref="A5:F10 A24:F24 A23:B23 A26:F29 A25:B25 A33:F41 A32:B32 A22:F22 B17 A13:F14 A11 C11 A18:B18 A19:B19 A20:B20 A21:B21 A31:F31 A30:B30 A52:F54 A51:B51 D51:F51 A43:F43 A42:B42 A45:F50 A44:B44 E11 A16:F16 A15:B15 F15 A12 C12:F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8"/>
    <pageSetUpPr fitToPage="1"/>
  </sheetPr>
  <dimension ref="A1:V35"/>
  <sheetViews>
    <sheetView view="pageBreakPreview" topLeftCell="A3" zoomScale="106" zoomScaleNormal="85" zoomScaleSheetLayoutView="106" workbookViewId="0">
      <selection activeCell="B11" sqref="B11:F11"/>
    </sheetView>
  </sheetViews>
  <sheetFormatPr baseColWidth="10" defaultColWidth="9" defaultRowHeight="14" x14ac:dyDescent="0.3"/>
  <cols>
    <col min="1" max="1" width="28.08203125" style="113" customWidth="1"/>
    <col min="2" max="2" width="8.33203125" style="113" customWidth="1"/>
    <col min="3" max="5" width="11.58203125" style="113" customWidth="1"/>
    <col min="6" max="6" width="46.08203125" style="113" bestFit="1" customWidth="1"/>
    <col min="7" max="7" width="37.58203125" style="156" customWidth="1"/>
    <col min="8" max="8" width="15.08203125" style="113" customWidth="1"/>
    <col min="9" max="9" width="21.58203125" style="113" customWidth="1"/>
    <col min="10" max="10" width="9" style="113"/>
    <col min="11" max="11" width="10.08203125" style="113" customWidth="1"/>
    <col min="12" max="12" width="10.58203125" style="113" customWidth="1"/>
    <col min="13" max="13" width="12.08203125" style="113" customWidth="1"/>
    <col min="14" max="16384" width="9" style="113"/>
  </cols>
  <sheetData>
    <row r="1" spans="1:22" ht="22.5" customHeight="1" x14ac:dyDescent="0.3">
      <c r="A1" s="346" t="s">
        <v>24</v>
      </c>
      <c r="B1" s="346"/>
      <c r="C1" s="346"/>
      <c r="D1" s="346"/>
      <c r="E1" s="346"/>
      <c r="F1" s="349" t="str">
        <f ca="1">Translations!$G$116</f>
        <v>Dernière version mise à jour mars 2020</v>
      </c>
      <c r="G1" s="115"/>
      <c r="H1" s="24"/>
      <c r="I1" s="25"/>
      <c r="J1" s="25"/>
      <c r="K1" s="25"/>
      <c r="L1" s="25"/>
      <c r="M1" s="25"/>
      <c r="N1" s="25"/>
      <c r="O1" s="26"/>
      <c r="P1" s="26"/>
      <c r="Q1" s="26"/>
      <c r="R1" s="26"/>
      <c r="S1" s="26"/>
      <c r="T1" s="26"/>
      <c r="U1" s="26"/>
      <c r="V1" s="26"/>
    </row>
    <row r="2" spans="1:22" ht="22.5" customHeight="1" x14ac:dyDescent="0.3">
      <c r="A2" s="347" t="s">
        <v>516</v>
      </c>
      <c r="B2" s="347"/>
      <c r="C2" s="347"/>
      <c r="D2" s="347"/>
      <c r="E2" s="347"/>
      <c r="F2" s="350"/>
      <c r="G2" s="115"/>
      <c r="H2" s="24"/>
      <c r="I2" s="25"/>
      <c r="J2" s="25"/>
      <c r="K2" s="25"/>
      <c r="L2" s="25"/>
      <c r="M2" s="25"/>
      <c r="N2" s="25"/>
      <c r="O2" s="26"/>
      <c r="P2" s="26"/>
      <c r="Q2" s="26"/>
      <c r="R2" s="26"/>
      <c r="S2" s="26"/>
      <c r="T2" s="26"/>
      <c r="U2" s="26"/>
      <c r="V2" s="26"/>
    </row>
    <row r="3" spans="1:22" ht="22.5" customHeight="1" thickBot="1" x14ac:dyDescent="0.35">
      <c r="A3" s="347" t="s">
        <v>517</v>
      </c>
      <c r="B3" s="347"/>
      <c r="C3" s="347"/>
      <c r="D3" s="347"/>
      <c r="E3" s="347"/>
      <c r="F3" s="350"/>
      <c r="G3" s="115"/>
      <c r="H3" s="24"/>
      <c r="I3" s="25"/>
      <c r="J3" s="25"/>
      <c r="K3" s="25"/>
      <c r="L3" s="25"/>
      <c r="M3" s="25"/>
      <c r="N3" s="25"/>
      <c r="O3" s="26"/>
      <c r="P3" s="26"/>
      <c r="Q3" s="26"/>
      <c r="R3" s="26"/>
      <c r="S3" s="26"/>
      <c r="T3" s="26"/>
      <c r="U3" s="26"/>
      <c r="V3" s="26"/>
    </row>
    <row r="4" spans="1:22" ht="56.25" customHeight="1" thickBot="1" x14ac:dyDescent="0.35">
      <c r="A4" s="348" t="str">
        <f ca="1">Translations!G114</f>
        <v xml:space="preserve">Veuillez lire attentivement les consignes données dans l'onglet « Instructions » avant de compléter le tableau d'analyse des déficits programmatiques. 
Les instructions ont été adaptées à chaque module/intervention. </v>
      </c>
      <c r="B4" s="348"/>
      <c r="C4" s="348"/>
      <c r="D4" s="348"/>
      <c r="E4" s="348"/>
      <c r="F4" s="348"/>
      <c r="G4" s="366"/>
      <c r="H4" s="366"/>
    </row>
    <row r="5" spans="1:22" ht="18.5" thickBot="1" x14ac:dyDescent="0.35">
      <c r="A5" s="117" t="s">
        <v>0</v>
      </c>
      <c r="B5" s="118"/>
      <c r="C5" s="118"/>
      <c r="D5" s="118"/>
      <c r="E5" s="118"/>
      <c r="F5" s="119"/>
      <c r="G5" s="153"/>
    </row>
    <row r="6" spans="1:22" ht="14.25" customHeight="1" x14ac:dyDescent="0.3">
      <c r="A6" s="154" t="str">
        <f ca="1">Translations!A39</f>
        <v>Circoncision masculine</v>
      </c>
      <c r="B6" s="155"/>
      <c r="C6" s="155"/>
      <c r="D6" s="155"/>
      <c r="E6" s="155"/>
      <c r="F6" s="123"/>
      <c r="G6" s="113"/>
    </row>
    <row r="7" spans="1:22" ht="20.25" customHeight="1" x14ac:dyDescent="0.3">
      <c r="A7" s="124" t="str">
        <f ca="1">Translations!$A$10</f>
        <v>Module prioritaire</v>
      </c>
      <c r="B7" s="351" t="str">
        <f ca="1">Translations!A40</f>
        <v>Prévention - Circoncision médicale masculine volontaire</v>
      </c>
      <c r="C7" s="352"/>
      <c r="D7" s="352"/>
      <c r="E7" s="352"/>
      <c r="F7" s="353"/>
      <c r="G7" s="113"/>
    </row>
    <row r="8" spans="1:22" ht="22.5" customHeight="1" x14ac:dyDescent="0.3">
      <c r="A8" s="124" t="str">
        <f ca="1">Translations!$A$11</f>
        <v>Indicateur de couverture sélectionné</v>
      </c>
      <c r="B8" s="320" t="str">
        <f ca="1">Translations!A41</f>
        <v xml:space="preserve">Nombre de circoncisions médicales pratiquées </v>
      </c>
      <c r="C8" s="321"/>
      <c r="D8" s="321"/>
      <c r="E8" s="321"/>
      <c r="F8" s="322"/>
      <c r="G8" s="113"/>
    </row>
    <row r="9" spans="1:22" x14ac:dyDescent="0.3">
      <c r="A9" s="126" t="str">
        <f ca="1">Translations!$A$13</f>
        <v>Couverture nationale actuelle</v>
      </c>
      <c r="B9" s="127"/>
      <c r="C9" s="127"/>
      <c r="D9" s="127"/>
      <c r="E9" s="127"/>
      <c r="F9" s="128"/>
      <c r="G9" s="113"/>
    </row>
    <row r="10" spans="1:22" ht="35.25" customHeight="1" x14ac:dyDescent="0.35">
      <c r="A10" s="129" t="str">
        <f ca="1">Translations!$A$14</f>
        <v>Indiquez les résultats les plus récents</v>
      </c>
      <c r="B10" s="53"/>
      <c r="C10" s="130" t="str">
        <f ca="1">Translations!$A$15</f>
        <v>Année</v>
      </c>
      <c r="D10" s="54"/>
      <c r="E10" s="131" t="str">
        <f ca="1">Translations!$A$16</f>
        <v>Source des données</v>
      </c>
      <c r="F10" s="55"/>
      <c r="G10" s="113"/>
    </row>
    <row r="11" spans="1:22" ht="27.75" customHeight="1" thickBot="1" x14ac:dyDescent="0.35">
      <c r="A11" s="132" t="str">
        <f ca="1">Translations!$A$17</f>
        <v>Observations</v>
      </c>
      <c r="B11" s="323" t="s">
        <v>1247</v>
      </c>
      <c r="C11" s="324"/>
      <c r="D11" s="324"/>
      <c r="E11" s="324"/>
      <c r="F11" s="325"/>
      <c r="G11" s="113"/>
    </row>
    <row r="12" spans="1:22" ht="15" thickBot="1" x14ac:dyDescent="0.35">
      <c r="A12" s="133"/>
      <c r="B12" s="134"/>
      <c r="C12" s="134"/>
      <c r="D12" s="134"/>
      <c r="E12" s="134"/>
      <c r="F12" s="135"/>
      <c r="G12" s="113"/>
    </row>
    <row r="13" spans="1:22" x14ac:dyDescent="0.3">
      <c r="A13" s="329"/>
      <c r="B13" s="330"/>
      <c r="C13" s="136" t="str">
        <f ca="1">Translations!$A$18</f>
        <v>Année 1</v>
      </c>
      <c r="D13" s="136" t="str">
        <f ca="1">Translations!$A$19</f>
        <v>Année 2</v>
      </c>
      <c r="E13" s="136" t="str">
        <f ca="1">Translations!$A$20</f>
        <v>Année 3</v>
      </c>
      <c r="F13" s="333" t="str">
        <f ca="1">Translations!$A$22</f>
        <v>Observations/Hypothèses</v>
      </c>
      <c r="G13" s="113"/>
    </row>
    <row r="14" spans="1:22" ht="28.5" customHeight="1" x14ac:dyDescent="0.3">
      <c r="A14" s="331"/>
      <c r="B14" s="332"/>
      <c r="C14" s="56" t="str">
        <f ca="1">Translations!$A$21</f>
        <v>Indiquez l'année</v>
      </c>
      <c r="D14" s="56" t="str">
        <f ca="1">Translations!$A$21</f>
        <v>Indiquez l'année</v>
      </c>
      <c r="E14" s="56" t="str">
        <f ca="1">Translations!$A$21</f>
        <v>Indiquez l'année</v>
      </c>
      <c r="F14" s="334"/>
      <c r="G14" s="113"/>
    </row>
    <row r="15" spans="1:22" ht="15" customHeight="1" x14ac:dyDescent="0.3">
      <c r="A15" s="137" t="str">
        <f ca="1">Translations!$A$23</f>
        <v>Estimation des besoins actuels du pays</v>
      </c>
      <c r="B15" s="143"/>
      <c r="C15" s="143"/>
      <c r="D15" s="143"/>
      <c r="E15" s="143"/>
      <c r="F15" s="144"/>
      <c r="G15" s="113"/>
    </row>
    <row r="16" spans="1:22" ht="51" customHeight="1" x14ac:dyDescent="0.3">
      <c r="A16" s="157" t="str">
        <f ca="1">Translations!$A$24</f>
        <v>A. Estimation du total des populations dans le besoin/à risque (Prévention VIH)</v>
      </c>
      <c r="B16" s="141" t="s">
        <v>7</v>
      </c>
      <c r="C16" s="57"/>
      <c r="D16" s="57"/>
      <c r="E16" s="57"/>
      <c r="F16" s="72"/>
      <c r="G16" s="113"/>
    </row>
    <row r="17" spans="1:7" ht="49.5" customHeight="1" x14ac:dyDescent="0.3">
      <c r="A17" s="158" t="str">
        <f ca="1">Translations!$A$25</f>
        <v>B. Cibles du pays
(à partir du plan stratégique national)</v>
      </c>
      <c r="B17" s="142" t="s">
        <v>7</v>
      </c>
      <c r="C17" s="58"/>
      <c r="D17" s="58"/>
      <c r="E17" s="58"/>
      <c r="F17" s="72"/>
      <c r="G17" s="113"/>
    </row>
    <row r="18" spans="1:7" ht="15" customHeight="1" x14ac:dyDescent="0.3">
      <c r="A18" s="126" t="str">
        <f ca="1">Translations!$A$42</f>
        <v>Cible nationale déjà couverte</v>
      </c>
      <c r="B18" s="127"/>
      <c r="C18" s="127"/>
      <c r="D18" s="127"/>
      <c r="E18" s="127"/>
      <c r="F18" s="128"/>
      <c r="G18" s="159"/>
    </row>
    <row r="19" spans="1:7" ht="30" customHeight="1" x14ac:dyDescent="0.3">
      <c r="A19" s="318" t="str">
        <f ca="1">Translations!$A$43</f>
        <v>C1. Cible nationale devant être couverte par des ressources nationales</v>
      </c>
      <c r="B19" s="141" t="s">
        <v>7</v>
      </c>
      <c r="C19" s="60"/>
      <c r="D19" s="60"/>
      <c r="E19" s="60"/>
      <c r="F19" s="377"/>
      <c r="G19" s="113"/>
    </row>
    <row r="20" spans="1:7" ht="24" customHeight="1" x14ac:dyDescent="0.3">
      <c r="A20" s="319"/>
      <c r="B20" s="141" t="s">
        <v>15</v>
      </c>
      <c r="C20" s="194" t="str">
        <f>IF(C19=0,"",+C19/C17)</f>
        <v/>
      </c>
      <c r="D20" s="194" t="str">
        <f>IF(D19=0,"",+D19/D17)</f>
        <v/>
      </c>
      <c r="E20" s="194" t="str">
        <f>IF(E19=0,"",+E19/E17)</f>
        <v/>
      </c>
      <c r="F20" s="356"/>
      <c r="G20" s="113"/>
    </row>
    <row r="21" spans="1:7" ht="27.75" customHeight="1" x14ac:dyDescent="0.3">
      <c r="A21" s="318" t="str">
        <f ca="1">Translations!$A$44</f>
        <v>C2. Cible nationale devant être couverte par des ressources extérieures</v>
      </c>
      <c r="B21" s="141" t="s">
        <v>7</v>
      </c>
      <c r="C21" s="60"/>
      <c r="D21" s="60"/>
      <c r="E21" s="60"/>
      <c r="F21" s="73"/>
      <c r="G21" s="113"/>
    </row>
    <row r="22" spans="1:7" ht="33" customHeight="1" x14ac:dyDescent="0.3">
      <c r="A22" s="319"/>
      <c r="B22" s="141" t="s">
        <v>15</v>
      </c>
      <c r="C22" s="62" t="str">
        <f>IF(C21=0,"",+C21/C17)</f>
        <v/>
      </c>
      <c r="D22" s="62" t="str">
        <f>IF(D21=0,"",+D21/D17)</f>
        <v/>
      </c>
      <c r="E22" s="62" t="str">
        <f>IF(E21=0,"",+E21/E17)</f>
        <v/>
      </c>
      <c r="F22" s="73"/>
      <c r="G22" s="113"/>
    </row>
    <row r="23" spans="1:7" ht="35.25" customHeight="1" x14ac:dyDescent="0.3">
      <c r="A23" s="318" t="str">
        <f ca="1">Translations!$A$45</f>
        <v>C3. Total de la cible nationale déjà couvert</v>
      </c>
      <c r="B23" s="141" t="s">
        <v>7</v>
      </c>
      <c r="C23" s="64">
        <f>C19+C21</f>
        <v>0</v>
      </c>
      <c r="D23" s="64">
        <f>D19+D21</f>
        <v>0</v>
      </c>
      <c r="E23" s="64">
        <f>E19+E21</f>
        <v>0</v>
      </c>
      <c r="F23" s="73"/>
      <c r="G23" s="113"/>
    </row>
    <row r="24" spans="1:7" ht="21" customHeight="1" x14ac:dyDescent="0.3">
      <c r="A24" s="319"/>
      <c r="B24" s="141" t="s">
        <v>15</v>
      </c>
      <c r="C24" s="194" t="str">
        <f>IF(C23=0,"",+C23/C17)</f>
        <v/>
      </c>
      <c r="D24" s="62" t="str">
        <f>IF(D23=0,"",+D23/D17)</f>
        <v/>
      </c>
      <c r="E24" s="62" t="str">
        <f>IF(E23=0,"",+E23/E17)</f>
        <v/>
      </c>
      <c r="F24" s="73"/>
      <c r="G24" s="113"/>
    </row>
    <row r="25" spans="1:7" x14ac:dyDescent="0.3">
      <c r="A25" s="137" t="str">
        <f ca="1">Translations!$A$30</f>
        <v>Déficit programmatique</v>
      </c>
      <c r="B25" s="143"/>
      <c r="C25" s="143"/>
      <c r="D25" s="143"/>
      <c r="E25" s="143"/>
      <c r="F25" s="144"/>
      <c r="G25" s="159"/>
    </row>
    <row r="26" spans="1:7" ht="42" customHeight="1" x14ac:dyDescent="0.3">
      <c r="A26" s="335" t="str">
        <f ca="1">Translations!$A$46</f>
        <v>D. Déficit annuel attendu par rapport à la cible nationale : B - C3</v>
      </c>
      <c r="B26" s="141" t="s">
        <v>7</v>
      </c>
      <c r="C26" s="64">
        <f>+C17-C23</f>
        <v>0</v>
      </c>
      <c r="D26" s="64">
        <f>+D17-D23</f>
        <v>0</v>
      </c>
      <c r="E26" s="64">
        <f>+E17-E23</f>
        <v>0</v>
      </c>
      <c r="F26" s="377"/>
      <c r="G26" s="113"/>
    </row>
    <row r="27" spans="1:7" ht="42" customHeight="1" x14ac:dyDescent="0.3">
      <c r="A27" s="336"/>
      <c r="B27" s="141" t="s">
        <v>15</v>
      </c>
      <c r="C27" s="62" t="str">
        <f>IF(C26=0,"",+C26/C17)</f>
        <v/>
      </c>
      <c r="D27" s="62" t="str">
        <f>IF(D26=0,"",+D26/D17)</f>
        <v/>
      </c>
      <c r="E27" s="62" t="str">
        <f>IF(E26=0,"",+E26/E17)</f>
        <v/>
      </c>
      <c r="F27" s="356"/>
      <c r="G27" s="113"/>
    </row>
    <row r="28" spans="1:7" ht="15" customHeight="1" x14ac:dyDescent="0.3">
      <c r="A28" s="137" t="str">
        <f ca="1">Translations!$A$47</f>
        <v>Cible nationale déjà couverte par la somme allouée</v>
      </c>
      <c r="B28" s="143"/>
      <c r="C28" s="143"/>
      <c r="D28" s="143"/>
      <c r="E28" s="143"/>
      <c r="F28" s="144"/>
      <c r="G28" s="159"/>
    </row>
    <row r="29" spans="1:7" ht="42" customHeight="1" x14ac:dyDescent="0.3">
      <c r="A29" s="335" t="str">
        <f ca="1">Translations!$A$33</f>
        <v>E. Cibles devant être financées par la somme allouée</v>
      </c>
      <c r="B29" s="142" t="s">
        <v>7</v>
      </c>
      <c r="C29" s="60"/>
      <c r="D29" s="60"/>
      <c r="E29" s="60"/>
      <c r="F29" s="377"/>
      <c r="G29" s="113"/>
    </row>
    <row r="30" spans="1:7" ht="42" customHeight="1" x14ac:dyDescent="0.3">
      <c r="A30" s="336"/>
      <c r="B30" s="142" t="s">
        <v>15</v>
      </c>
      <c r="C30" s="62" t="str">
        <f>IF(C29=0,"",+C29/C17)</f>
        <v/>
      </c>
      <c r="D30" s="62" t="str">
        <f>IF(D29=0,"",+D29/D17)</f>
        <v/>
      </c>
      <c r="E30" s="62" t="str">
        <f>IF(E29=0,"",+E29/E17)</f>
        <v/>
      </c>
      <c r="F30" s="356"/>
      <c r="G30" s="113"/>
    </row>
    <row r="31" spans="1:7" ht="42" customHeight="1" x14ac:dyDescent="0.3">
      <c r="A31" s="335" t="str">
        <f ca="1">Translations!$A$34</f>
        <v>F. Couverture par la somme allouée et d'autres ressources : E + C3</v>
      </c>
      <c r="B31" s="142" t="s">
        <v>7</v>
      </c>
      <c r="C31" s="64">
        <f>+C29+C23</f>
        <v>0</v>
      </c>
      <c r="D31" s="64">
        <f>+D29+D23</f>
        <v>0</v>
      </c>
      <c r="E31" s="64">
        <f>+E29+E23</f>
        <v>0</v>
      </c>
      <c r="F31" s="377"/>
      <c r="G31" s="113"/>
    </row>
    <row r="32" spans="1:7" ht="42" customHeight="1" x14ac:dyDescent="0.3">
      <c r="A32" s="336"/>
      <c r="B32" s="142" t="s">
        <v>15</v>
      </c>
      <c r="C32" s="62" t="str">
        <f>IF(C31=0,"",+C31/C17)</f>
        <v/>
      </c>
      <c r="D32" s="62" t="str">
        <f>IF(D31=0,"",+D31/D17)</f>
        <v/>
      </c>
      <c r="E32" s="62" t="str">
        <f>IF(E31=0,"",+E31/E17)</f>
        <v/>
      </c>
      <c r="F32" s="356"/>
      <c r="G32" s="113"/>
    </row>
    <row r="33" spans="1:7" ht="42" customHeight="1" x14ac:dyDescent="0.3">
      <c r="A33" s="335" t="str">
        <f ca="1">Translations!$A$48</f>
        <v xml:space="preserve">G. Déficit restant : B - F </v>
      </c>
      <c r="B33" s="142" t="s">
        <v>7</v>
      </c>
      <c r="C33" s="64">
        <f>+C17-(C31)</f>
        <v>0</v>
      </c>
      <c r="D33" s="64">
        <f>+D17-(D31)</f>
        <v>0</v>
      </c>
      <c r="E33" s="64">
        <f>+E17-(E31)</f>
        <v>0</v>
      </c>
      <c r="F33" s="377"/>
      <c r="G33" s="113"/>
    </row>
    <row r="34" spans="1:7" ht="42" customHeight="1" thickBot="1" x14ac:dyDescent="0.35">
      <c r="A34" s="342"/>
      <c r="B34" s="142" t="s">
        <v>15</v>
      </c>
      <c r="C34" s="62" t="str">
        <f>IF(C33=0,"",+C33/C17)</f>
        <v/>
      </c>
      <c r="D34" s="62" t="str">
        <f>IF(D33=0,"",+D33/D17)</f>
        <v/>
      </c>
      <c r="E34" s="62" t="str">
        <f>IF(E33=0,"",+E33/E17)</f>
        <v/>
      </c>
      <c r="F34" s="356"/>
      <c r="G34" s="113"/>
    </row>
    <row r="35" spans="1:7" ht="14.5" thickBot="1" x14ac:dyDescent="0.35">
      <c r="A35" s="357" t="str">
        <f ca="1">Translations!$A$49</f>
        <v>Toutes les cibles en % des rangées C à G sont basées sur les valeurs numériques de la rangée B.</v>
      </c>
      <c r="B35" s="358"/>
      <c r="C35" s="358"/>
      <c r="D35" s="358"/>
      <c r="E35" s="358"/>
      <c r="F35" s="359"/>
      <c r="G35" s="159"/>
    </row>
  </sheetData>
  <sheetProtection password="E205" sheet="1" formatColumns="0" formatRows="0"/>
  <mergeCells count="24">
    <mergeCell ref="A1:E1"/>
    <mergeCell ref="A2:E2"/>
    <mergeCell ref="A3:E3"/>
    <mergeCell ref="A35:F35"/>
    <mergeCell ref="A31:A32"/>
    <mergeCell ref="A33:A34"/>
    <mergeCell ref="F31:F32"/>
    <mergeCell ref="F33:F34"/>
    <mergeCell ref="F1:F3"/>
    <mergeCell ref="G4:H4"/>
    <mergeCell ref="A4:F4"/>
    <mergeCell ref="F13:F14"/>
    <mergeCell ref="A19:A20"/>
    <mergeCell ref="A29:A30"/>
    <mergeCell ref="A13:B14"/>
    <mergeCell ref="F19:F20"/>
    <mergeCell ref="F26:F27"/>
    <mergeCell ref="F29:F30"/>
    <mergeCell ref="A21:A22"/>
    <mergeCell ref="A23:A24"/>
    <mergeCell ref="B7:F7"/>
    <mergeCell ref="B8:F8"/>
    <mergeCell ref="B11:F11"/>
    <mergeCell ref="A26:A27"/>
  </mergeCells>
  <pageMargins left="0.7" right="0.7" top="0.75" bottom="0.75" header="0.3" footer="0.3"/>
  <pageSetup paperSize="8" fitToHeight="0" orientation="portrait" r:id="rId1"/>
  <ignoredErrors>
    <ignoredError sqref="A4:F10 A18:F18 A16:D16 F16 A17:D17 F17 A20:F20 A19:D19 F19 A22:F25 A21:D21 F21 A27:F35 A26:B26 F26 A12:F15 A11 C11:F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V350"/>
  <sheetViews>
    <sheetView view="pageBreakPreview" zoomScale="120" zoomScaleNormal="80" zoomScaleSheetLayoutView="120" zoomScalePageLayoutView="80" workbookViewId="0">
      <pane ySplit="4" topLeftCell="A77" activePane="bottomLeft" state="frozen"/>
      <selection pane="bottomLeft" activeCell="F135" sqref="F135:F136"/>
    </sheetView>
  </sheetViews>
  <sheetFormatPr baseColWidth="10" defaultColWidth="9" defaultRowHeight="14.5" x14ac:dyDescent="0.35"/>
  <cols>
    <col min="1" max="1" width="24.58203125" style="20" customWidth="1"/>
    <col min="2" max="2" width="8.58203125" style="20" customWidth="1"/>
    <col min="3" max="5" width="11.58203125" style="20" customWidth="1"/>
    <col min="6" max="6" width="98.5" style="20" customWidth="1"/>
    <col min="7" max="7" width="15.08203125" style="20" customWidth="1"/>
    <col min="8" max="8" width="21.58203125" style="20" customWidth="1"/>
    <col min="9" max="9" width="9" style="20"/>
    <col min="10" max="10" width="10.08203125" style="20" customWidth="1"/>
    <col min="11" max="11" width="10.58203125" style="20" customWidth="1"/>
    <col min="12" max="12" width="12.08203125" style="20" customWidth="1"/>
    <col min="13" max="16384" width="9" style="20"/>
  </cols>
  <sheetData>
    <row r="1" spans="1:22" s="19" customFormat="1" ht="19.5" customHeight="1" x14ac:dyDescent="0.3">
      <c r="A1" s="386" t="s">
        <v>24</v>
      </c>
      <c r="B1" s="386"/>
      <c r="C1" s="386"/>
      <c r="D1" s="386"/>
      <c r="E1" s="386"/>
      <c r="F1" s="349" t="str">
        <f ca="1">Translations!$G$116</f>
        <v>Dernière version mise à jour mars 2020</v>
      </c>
      <c r="G1" s="3"/>
      <c r="H1" s="4"/>
      <c r="I1" s="1"/>
      <c r="J1" s="1"/>
      <c r="K1" s="1"/>
      <c r="L1" s="1"/>
      <c r="M1" s="1"/>
      <c r="N1" s="1"/>
      <c r="O1" s="2"/>
      <c r="P1" s="2"/>
      <c r="Q1" s="2"/>
      <c r="R1" s="2"/>
      <c r="S1" s="2"/>
      <c r="T1" s="2"/>
      <c r="U1" s="2"/>
      <c r="V1" s="2"/>
    </row>
    <row r="2" spans="1:22" s="19" customFormat="1" ht="19.5" customHeight="1" x14ac:dyDescent="0.3">
      <c r="A2" s="387" t="s">
        <v>516</v>
      </c>
      <c r="B2" s="387"/>
      <c r="C2" s="387"/>
      <c r="D2" s="387"/>
      <c r="E2" s="387"/>
      <c r="F2" s="350"/>
      <c r="G2" s="3"/>
      <c r="H2" s="4"/>
      <c r="I2" s="1"/>
      <c r="J2" s="1"/>
      <c r="K2" s="1"/>
      <c r="L2" s="1"/>
      <c r="M2" s="1"/>
      <c r="N2" s="1"/>
      <c r="O2" s="2"/>
      <c r="P2" s="2"/>
      <c r="Q2" s="2"/>
      <c r="R2" s="2"/>
      <c r="S2" s="2"/>
      <c r="T2" s="2"/>
      <c r="U2" s="2"/>
      <c r="V2" s="2"/>
    </row>
    <row r="3" spans="1:22" s="19" customFormat="1" ht="19.5" customHeight="1" thickBot="1" x14ac:dyDescent="0.35">
      <c r="A3" s="387" t="s">
        <v>517</v>
      </c>
      <c r="B3" s="387"/>
      <c r="C3" s="387"/>
      <c r="D3" s="387"/>
      <c r="E3" s="387"/>
      <c r="F3" s="350"/>
      <c r="G3" s="3"/>
      <c r="H3" s="4"/>
      <c r="I3" s="1"/>
      <c r="J3" s="1"/>
      <c r="K3" s="1"/>
      <c r="L3" s="1"/>
      <c r="M3" s="1"/>
      <c r="N3" s="1"/>
      <c r="O3" s="2"/>
      <c r="P3" s="2"/>
      <c r="Q3" s="2"/>
      <c r="R3" s="2"/>
      <c r="S3" s="2"/>
      <c r="T3" s="2"/>
      <c r="U3" s="2"/>
      <c r="V3" s="2"/>
    </row>
    <row r="4" spans="1:22" ht="91.5" customHeight="1" thickBot="1" x14ac:dyDescent="0.4">
      <c r="A4" s="388" t="s">
        <v>715</v>
      </c>
      <c r="B4" s="389"/>
      <c r="C4" s="389"/>
      <c r="D4" s="389"/>
      <c r="E4" s="389"/>
      <c r="F4" s="390"/>
      <c r="G4" s="385"/>
      <c r="H4" s="385"/>
    </row>
    <row r="5" spans="1:22" ht="29" customHeight="1" thickBot="1" x14ac:dyDescent="0.4">
      <c r="A5" s="36" t="s">
        <v>0</v>
      </c>
      <c r="B5" s="37"/>
      <c r="C5" s="37"/>
      <c r="D5" s="37"/>
      <c r="E5" s="37"/>
      <c r="F5" s="38"/>
    </row>
    <row r="6" spans="1:22" ht="24" customHeight="1" x14ac:dyDescent="0.35">
      <c r="A6" s="32" t="s">
        <v>30</v>
      </c>
      <c r="B6" s="393" t="s">
        <v>777</v>
      </c>
      <c r="C6" s="394"/>
      <c r="D6" s="394"/>
      <c r="E6" s="394"/>
      <c r="F6" s="395"/>
    </row>
    <row r="7" spans="1:22" ht="34.5" customHeight="1" x14ac:dyDescent="0.35">
      <c r="A7" s="32" t="s">
        <v>1</v>
      </c>
      <c r="B7" s="326" t="s">
        <v>1152</v>
      </c>
      <c r="C7" s="327"/>
      <c r="D7" s="327"/>
      <c r="E7" s="327"/>
      <c r="F7" s="328"/>
    </row>
    <row r="8" spans="1:22" ht="34.5" customHeight="1" x14ac:dyDescent="0.35">
      <c r="A8" s="79" t="s">
        <v>93</v>
      </c>
      <c r="B8" s="337" t="s">
        <v>1153</v>
      </c>
      <c r="C8" s="338"/>
      <c r="D8" s="338"/>
      <c r="E8" s="338"/>
      <c r="F8" s="339"/>
    </row>
    <row r="9" spans="1:22" x14ac:dyDescent="0.35">
      <c r="A9" s="39" t="s">
        <v>13</v>
      </c>
      <c r="B9" s="40"/>
      <c r="C9" s="40"/>
      <c r="D9" s="40"/>
      <c r="E9" s="40"/>
      <c r="F9" s="41"/>
    </row>
    <row r="10" spans="1:22" ht="32" customHeight="1" x14ac:dyDescent="0.35">
      <c r="A10" s="45" t="s">
        <v>14</v>
      </c>
      <c r="B10" s="289">
        <v>0.38900000000000001</v>
      </c>
      <c r="C10" s="21" t="s">
        <v>10</v>
      </c>
      <c r="D10" s="56">
        <v>2019</v>
      </c>
      <c r="E10" s="46" t="s">
        <v>11</v>
      </c>
      <c r="F10" s="291" t="s">
        <v>1166</v>
      </c>
    </row>
    <row r="11" spans="1:22" ht="32" customHeight="1" thickBot="1" x14ac:dyDescent="0.4">
      <c r="A11" s="31" t="s">
        <v>12</v>
      </c>
      <c r="B11" s="323" t="s">
        <v>1154</v>
      </c>
      <c r="C11" s="324"/>
      <c r="D11" s="324"/>
      <c r="E11" s="324"/>
      <c r="F11" s="325"/>
    </row>
    <row r="12" spans="1:22" ht="15" thickBot="1" x14ac:dyDescent="0.4">
      <c r="A12" s="43"/>
      <c r="B12" s="42"/>
      <c r="C12" s="42"/>
      <c r="D12" s="42"/>
      <c r="E12" s="42"/>
      <c r="F12" s="44"/>
    </row>
    <row r="13" spans="1:22" x14ac:dyDescent="0.35">
      <c r="A13" s="396"/>
      <c r="B13" s="397"/>
      <c r="C13" s="22" t="s">
        <v>2</v>
      </c>
      <c r="D13" s="22" t="s">
        <v>3</v>
      </c>
      <c r="E13" s="22" t="s">
        <v>4</v>
      </c>
      <c r="F13" s="400" t="s">
        <v>31</v>
      </c>
    </row>
    <row r="14" spans="1:22" ht="32.5" customHeight="1" x14ac:dyDescent="0.35">
      <c r="A14" s="398"/>
      <c r="B14" s="399"/>
      <c r="C14" s="56">
        <v>2021</v>
      </c>
      <c r="D14" s="56">
        <v>2022</v>
      </c>
      <c r="E14" s="56">
        <v>2023</v>
      </c>
      <c r="F14" s="401"/>
    </row>
    <row r="15" spans="1:22" ht="26.5" customHeight="1" x14ac:dyDescent="0.35">
      <c r="A15" s="28" t="s">
        <v>6</v>
      </c>
      <c r="B15" s="29"/>
      <c r="C15" s="29"/>
      <c r="D15" s="29"/>
      <c r="E15" s="29"/>
      <c r="F15" s="30"/>
    </row>
    <row r="16" spans="1:22" ht="48" customHeight="1" x14ac:dyDescent="0.35">
      <c r="A16" s="5" t="s">
        <v>32</v>
      </c>
      <c r="B16" s="6" t="s">
        <v>7</v>
      </c>
      <c r="C16" s="290">
        <v>36501</v>
      </c>
      <c r="D16" s="290">
        <v>37450</v>
      </c>
      <c r="E16" s="290">
        <v>38424</v>
      </c>
      <c r="F16" s="291" t="s">
        <v>1159</v>
      </c>
    </row>
    <row r="17" spans="1:6" ht="34.5" customHeight="1" x14ac:dyDescent="0.35">
      <c r="A17" s="391" t="s">
        <v>33</v>
      </c>
      <c r="B17" s="7" t="s">
        <v>7</v>
      </c>
      <c r="C17" s="290">
        <f>C16*60%</f>
        <v>21900.6</v>
      </c>
      <c r="D17" s="290">
        <f>D16*70%</f>
        <v>26215</v>
      </c>
      <c r="E17" s="290">
        <f>E16*80%</f>
        <v>30739.200000000001</v>
      </c>
      <c r="F17" s="343" t="s">
        <v>1187</v>
      </c>
    </row>
    <row r="18" spans="1:6" ht="30.75" customHeight="1" x14ac:dyDescent="0.35">
      <c r="A18" s="392"/>
      <c r="B18" s="7" t="s">
        <v>15</v>
      </c>
      <c r="C18" s="62">
        <f>IF(C17=0,"",+C17/C16)</f>
        <v>0.6</v>
      </c>
      <c r="D18" s="62">
        <f t="shared" ref="D18:E18" si="0">IF(D17=0,"",+D17/D16)</f>
        <v>0.7</v>
      </c>
      <c r="E18" s="62">
        <f t="shared" si="0"/>
        <v>0.8</v>
      </c>
      <c r="F18" s="344"/>
    </row>
    <row r="19" spans="1:6" ht="15" customHeight="1" x14ac:dyDescent="0.35">
      <c r="A19" s="33" t="s">
        <v>8</v>
      </c>
      <c r="B19" s="34"/>
      <c r="C19" s="34"/>
      <c r="D19" s="34"/>
      <c r="E19" s="34"/>
      <c r="F19" s="35"/>
    </row>
    <row r="20" spans="1:6" ht="39.75" customHeight="1" x14ac:dyDescent="0.35">
      <c r="A20" s="391" t="s">
        <v>73</v>
      </c>
      <c r="B20" s="6" t="s">
        <v>7</v>
      </c>
      <c r="C20" s="290">
        <f>C17*5%</f>
        <v>1095.03</v>
      </c>
      <c r="D20" s="290">
        <f>D17*7.5%</f>
        <v>1966.125</v>
      </c>
      <c r="E20" s="290">
        <f>E17*10%</f>
        <v>3073.92</v>
      </c>
      <c r="F20" s="340" t="s">
        <v>1189</v>
      </c>
    </row>
    <row r="21" spans="1:6" ht="39.75" customHeight="1" x14ac:dyDescent="0.35">
      <c r="A21" s="392"/>
      <c r="B21" s="6" t="s">
        <v>15</v>
      </c>
      <c r="C21" s="62">
        <f>IF(C20=0,"",+C20/C16)</f>
        <v>0.03</v>
      </c>
      <c r="D21" s="62">
        <f>IF(D20=0,"",+D20/D16)</f>
        <v>5.2499999999999998E-2</v>
      </c>
      <c r="E21" s="62">
        <f>IF(E20=0,"",+E20/E16)</f>
        <v>0.08</v>
      </c>
      <c r="F21" s="341"/>
    </row>
    <row r="22" spans="1:6" ht="44" customHeight="1" x14ac:dyDescent="0.35">
      <c r="A22" s="391" t="s">
        <v>74</v>
      </c>
      <c r="B22" s="6" t="s">
        <v>7</v>
      </c>
      <c r="C22" s="290">
        <v>8863</v>
      </c>
      <c r="D22" s="290">
        <v>8863</v>
      </c>
      <c r="E22" s="290">
        <v>8863</v>
      </c>
      <c r="F22" s="340" t="s">
        <v>1233</v>
      </c>
    </row>
    <row r="23" spans="1:6" ht="35.5" customHeight="1" x14ac:dyDescent="0.35">
      <c r="A23" s="392"/>
      <c r="B23" s="6" t="s">
        <v>15</v>
      </c>
      <c r="C23" s="62">
        <f>IF(C22=0,"",+C22/C16)</f>
        <v>0.24281526533519629</v>
      </c>
      <c r="D23" s="62">
        <f>IF(D22=0,"",+D22/D16)</f>
        <v>0.23666221628838452</v>
      </c>
      <c r="E23" s="62">
        <f>IF(E22=0,"",+E22/E16)</f>
        <v>0.23066312721215906</v>
      </c>
      <c r="F23" s="341"/>
    </row>
    <row r="24" spans="1:6" ht="39.75" customHeight="1" x14ac:dyDescent="0.35">
      <c r="A24" s="391" t="s">
        <v>692</v>
      </c>
      <c r="B24" s="6" t="s">
        <v>7</v>
      </c>
      <c r="C24" s="63">
        <f>+C20+C22</f>
        <v>9958.0300000000007</v>
      </c>
      <c r="D24" s="63">
        <f>+D20+D22</f>
        <v>10829.125</v>
      </c>
      <c r="E24" s="63">
        <f>+E20+E22</f>
        <v>11936.92</v>
      </c>
      <c r="F24" s="61"/>
    </row>
    <row r="25" spans="1:6" ht="39.75" customHeight="1" x14ac:dyDescent="0.35">
      <c r="A25" s="392"/>
      <c r="B25" s="6" t="s">
        <v>15</v>
      </c>
      <c r="C25" s="62">
        <f>IF(C24=0,"",+C24/C16)</f>
        <v>0.27281526533519629</v>
      </c>
      <c r="D25" s="62">
        <f>IF(D24=0,"",+D24/D16)</f>
        <v>0.28916221628838451</v>
      </c>
      <c r="E25" s="62">
        <f>IF(E24=0,"",+E24/E16)</f>
        <v>0.31066312721215905</v>
      </c>
      <c r="F25" s="61"/>
    </row>
    <row r="26" spans="1:6" x14ac:dyDescent="0.35">
      <c r="A26" s="33" t="s">
        <v>9</v>
      </c>
      <c r="B26" s="34"/>
      <c r="C26" s="34"/>
      <c r="D26" s="34"/>
      <c r="E26" s="34"/>
      <c r="F26" s="35"/>
    </row>
    <row r="27" spans="1:6" ht="41.25" customHeight="1" x14ac:dyDescent="0.35">
      <c r="A27" s="402" t="s">
        <v>695</v>
      </c>
      <c r="B27" s="6" t="s">
        <v>7</v>
      </c>
      <c r="C27" s="64">
        <f>+C16-(C24)</f>
        <v>26542.97</v>
      </c>
      <c r="D27" s="64">
        <f>+D16-(D24)</f>
        <v>26620.875</v>
      </c>
      <c r="E27" s="64">
        <f>+E16-(E24)</f>
        <v>26487.08</v>
      </c>
      <c r="F27" s="343"/>
    </row>
    <row r="28" spans="1:6" ht="40.5" customHeight="1" x14ac:dyDescent="0.35">
      <c r="A28" s="403"/>
      <c r="B28" s="6" t="s">
        <v>15</v>
      </c>
      <c r="C28" s="62">
        <f>IF(C27=0,"",+C27/C16)</f>
        <v>0.72718473466480371</v>
      </c>
      <c r="D28" s="62">
        <f>IF(D27=0,"",+D27/D16)</f>
        <v>0.71083778371161543</v>
      </c>
      <c r="E28" s="62">
        <f>IF(E27=0,"",+E27/E16)</f>
        <v>0.68933687278784095</v>
      </c>
      <c r="F28" s="344"/>
    </row>
    <row r="29" spans="1:6" ht="15" customHeight="1" x14ac:dyDescent="0.35">
      <c r="A29" s="47" t="s">
        <v>75</v>
      </c>
      <c r="B29" s="34"/>
      <c r="C29" s="34"/>
      <c r="D29" s="34"/>
      <c r="E29" s="34"/>
      <c r="F29" s="35"/>
    </row>
    <row r="30" spans="1:6" ht="34.5" customHeight="1" x14ac:dyDescent="0.35">
      <c r="A30" s="402" t="s">
        <v>76</v>
      </c>
      <c r="B30" s="7" t="s">
        <v>7</v>
      </c>
      <c r="C30" s="290">
        <f>'HIV Tables'!C31*80%</f>
        <v>7249.6</v>
      </c>
      <c r="D30" s="290">
        <f>'HIV Tables'!D31*80%</f>
        <v>7437.6</v>
      </c>
      <c r="E30" s="290">
        <f>'HIV Tables'!E31*80%</f>
        <v>7631.2000000000007</v>
      </c>
      <c r="F30" s="340" t="s">
        <v>1236</v>
      </c>
    </row>
    <row r="31" spans="1:6" ht="27" customHeight="1" x14ac:dyDescent="0.35">
      <c r="A31" s="403"/>
      <c r="B31" s="7" t="s">
        <v>15</v>
      </c>
      <c r="C31" s="62">
        <f>IF(C30=0,"",+C30/C16)</f>
        <v>0.1986137366099559</v>
      </c>
      <c r="D31" s="62">
        <f>IF(D30=0,"",+D30/D16)</f>
        <v>0.1986008010680908</v>
      </c>
      <c r="E31" s="62">
        <f>IF(E30=0,"",+E30/E16)</f>
        <v>0.1986050385175932</v>
      </c>
      <c r="F31" s="341"/>
    </row>
    <row r="32" spans="1:6" ht="36" customHeight="1" x14ac:dyDescent="0.35">
      <c r="A32" s="402" t="s">
        <v>716</v>
      </c>
      <c r="B32" s="7" t="s">
        <v>7</v>
      </c>
      <c r="C32" s="64">
        <f>+C30+C24</f>
        <v>17207.63</v>
      </c>
      <c r="D32" s="64">
        <f>+D30+D24</f>
        <v>18266.724999999999</v>
      </c>
      <c r="E32" s="64">
        <f>+E30+E24</f>
        <v>19568.120000000003</v>
      </c>
      <c r="F32" s="343"/>
    </row>
    <row r="33" spans="1:6" ht="34.5" customHeight="1" x14ac:dyDescent="0.35">
      <c r="A33" s="403"/>
      <c r="B33" s="7" t="s">
        <v>15</v>
      </c>
      <c r="C33" s="62">
        <f>IF(C32=0,"",+C32/C16)</f>
        <v>0.47142900194515219</v>
      </c>
      <c r="D33" s="62">
        <f>IF(D32=0,"",+D32/D16)</f>
        <v>0.48776301735647526</v>
      </c>
      <c r="E33" s="62">
        <f>IF(E32=0,"",+E32/E16)</f>
        <v>0.50926816572975231</v>
      </c>
      <c r="F33" s="344"/>
    </row>
    <row r="34" spans="1:6" ht="41.25" customHeight="1" x14ac:dyDescent="0.35">
      <c r="A34" s="402" t="s">
        <v>77</v>
      </c>
      <c r="B34" s="7" t="s">
        <v>7</v>
      </c>
      <c r="C34" s="64">
        <f>+C16-(C32)</f>
        <v>19293.37</v>
      </c>
      <c r="D34" s="64">
        <f>+D16-(D32)</f>
        <v>19183.275000000001</v>
      </c>
      <c r="E34" s="64">
        <f>+E16-(E32)</f>
        <v>18855.879999999997</v>
      </c>
      <c r="F34" s="340" t="s">
        <v>1155</v>
      </c>
    </row>
    <row r="35" spans="1:6" ht="41.25" customHeight="1" thickBot="1" x14ac:dyDescent="0.4">
      <c r="A35" s="408"/>
      <c r="B35" s="7" t="s">
        <v>15</v>
      </c>
      <c r="C35" s="62">
        <f>IF(C34=0,"",+C34/C16)</f>
        <v>0.52857099805484775</v>
      </c>
      <c r="D35" s="62">
        <f>IF(D34=0,"",+D34/D16)</f>
        <v>0.51223698264352469</v>
      </c>
      <c r="E35" s="62">
        <f>IF(E34=0,"",+E34/E16)</f>
        <v>0.49073183427024769</v>
      </c>
      <c r="F35" s="341"/>
    </row>
    <row r="36" spans="1:6" ht="15" customHeight="1" x14ac:dyDescent="0.35">
      <c r="A36" s="404" t="s">
        <v>24</v>
      </c>
      <c r="B36" s="404"/>
      <c r="C36" s="404"/>
      <c r="D36" s="404"/>
      <c r="E36" s="404"/>
      <c r="F36" s="405" t="str">
        <f ca="1">Translations!$G$116</f>
        <v>Dernière version mise à jour mars 2020</v>
      </c>
    </row>
    <row r="37" spans="1:6" ht="15" customHeight="1" x14ac:dyDescent="0.35">
      <c r="A37" s="407" t="s">
        <v>516</v>
      </c>
      <c r="B37" s="407"/>
      <c r="C37" s="407"/>
      <c r="D37" s="407"/>
      <c r="E37" s="407"/>
      <c r="F37" s="406"/>
    </row>
    <row r="38" spans="1:6" ht="15.75" customHeight="1" thickBot="1" x14ac:dyDescent="0.4">
      <c r="A38" s="407" t="s">
        <v>517</v>
      </c>
      <c r="B38" s="407"/>
      <c r="C38" s="407"/>
      <c r="D38" s="407"/>
      <c r="E38" s="407"/>
      <c r="F38" s="406"/>
    </row>
    <row r="39" spans="1:6" ht="15.75" customHeight="1" thickBot="1" x14ac:dyDescent="0.4">
      <c r="A39" s="388" t="s">
        <v>715</v>
      </c>
      <c r="B39" s="389"/>
      <c r="C39" s="389"/>
      <c r="D39" s="389"/>
      <c r="E39" s="389"/>
      <c r="F39" s="390"/>
    </row>
    <row r="40" spans="1:6" ht="30" customHeight="1" thickBot="1" x14ac:dyDescent="0.4">
      <c r="A40" s="36" t="s">
        <v>0</v>
      </c>
      <c r="B40" s="37"/>
      <c r="C40" s="37"/>
      <c r="D40" s="37"/>
      <c r="E40" s="37"/>
      <c r="F40" s="38"/>
    </row>
    <row r="41" spans="1:6" ht="28" customHeight="1" x14ac:dyDescent="0.35">
      <c r="A41" s="32" t="s">
        <v>30</v>
      </c>
      <c r="B41" s="393" t="s">
        <v>777</v>
      </c>
      <c r="C41" s="394"/>
      <c r="D41" s="394"/>
      <c r="E41" s="394"/>
      <c r="F41" s="395"/>
    </row>
    <row r="42" spans="1:6" ht="41" customHeight="1" x14ac:dyDescent="0.35">
      <c r="A42" s="32" t="s">
        <v>1</v>
      </c>
      <c r="B42" s="326" t="s">
        <v>1152</v>
      </c>
      <c r="C42" s="327"/>
      <c r="D42" s="327"/>
      <c r="E42" s="327"/>
      <c r="F42" s="328"/>
    </row>
    <row r="43" spans="1:6" ht="29" customHeight="1" x14ac:dyDescent="0.35">
      <c r="A43" s="79" t="s">
        <v>93</v>
      </c>
      <c r="B43" s="337" t="s">
        <v>1185</v>
      </c>
      <c r="C43" s="338"/>
      <c r="D43" s="338"/>
      <c r="E43" s="338"/>
      <c r="F43" s="339"/>
    </row>
    <row r="44" spans="1:6" ht="31.5" customHeight="1" x14ac:dyDescent="0.35">
      <c r="A44" s="39" t="s">
        <v>13</v>
      </c>
      <c r="B44" s="40"/>
      <c r="C44" s="40"/>
      <c r="D44" s="40"/>
      <c r="E44" s="40"/>
      <c r="F44" s="41"/>
    </row>
    <row r="45" spans="1:6" ht="30" customHeight="1" x14ac:dyDescent="0.35">
      <c r="A45" s="45" t="s">
        <v>14</v>
      </c>
      <c r="B45" s="293">
        <v>0.57999999999999996</v>
      </c>
      <c r="C45" s="21" t="s">
        <v>10</v>
      </c>
      <c r="D45" s="56">
        <v>2019</v>
      </c>
      <c r="E45" s="46" t="s">
        <v>11</v>
      </c>
      <c r="F45" s="291" t="s">
        <v>1184</v>
      </c>
    </row>
    <row r="46" spans="1:6" ht="30" customHeight="1" thickBot="1" x14ac:dyDescent="0.4">
      <c r="A46" s="31" t="s">
        <v>12</v>
      </c>
      <c r="B46" s="323"/>
      <c r="C46" s="324"/>
      <c r="D46" s="324"/>
      <c r="E46" s="324"/>
      <c r="F46" s="325"/>
    </row>
    <row r="47" spans="1:6" ht="15" thickBot="1" x14ac:dyDescent="0.4">
      <c r="A47" s="43"/>
      <c r="B47" s="42"/>
      <c r="C47" s="42"/>
      <c r="D47" s="42"/>
      <c r="E47" s="42"/>
      <c r="F47" s="44"/>
    </row>
    <row r="48" spans="1:6" ht="26" customHeight="1" x14ac:dyDescent="0.35">
      <c r="A48" s="396"/>
      <c r="B48" s="397"/>
      <c r="C48" s="22" t="s">
        <v>2</v>
      </c>
      <c r="D48" s="22" t="s">
        <v>3</v>
      </c>
      <c r="E48" s="22" t="s">
        <v>4</v>
      </c>
      <c r="F48" s="400" t="s">
        <v>31</v>
      </c>
    </row>
    <row r="49" spans="1:6" ht="26" customHeight="1" x14ac:dyDescent="0.35">
      <c r="A49" s="398"/>
      <c r="B49" s="399"/>
      <c r="C49" s="56">
        <v>2021</v>
      </c>
      <c r="D49" s="56">
        <v>2022</v>
      </c>
      <c r="E49" s="56">
        <v>2023</v>
      </c>
      <c r="F49" s="401"/>
    </row>
    <row r="50" spans="1:6" ht="28" x14ac:dyDescent="0.35">
      <c r="A50" s="28" t="s">
        <v>6</v>
      </c>
      <c r="B50" s="29"/>
      <c r="C50" s="29"/>
      <c r="D50" s="29"/>
      <c r="E50" s="29"/>
      <c r="F50" s="30"/>
    </row>
    <row r="51" spans="1:6" ht="35.5" customHeight="1" x14ac:dyDescent="0.35">
      <c r="A51" s="5" t="s">
        <v>32</v>
      </c>
      <c r="B51" s="6" t="s">
        <v>7</v>
      </c>
      <c r="C51" s="290">
        <v>10039</v>
      </c>
      <c r="D51" s="290">
        <v>10300</v>
      </c>
      <c r="E51" s="290">
        <v>10568</v>
      </c>
      <c r="F51" s="291" t="s">
        <v>1191</v>
      </c>
    </row>
    <row r="52" spans="1:6" ht="29" customHeight="1" x14ac:dyDescent="0.35">
      <c r="A52" s="391" t="s">
        <v>33</v>
      </c>
      <c r="B52" s="7" t="s">
        <v>7</v>
      </c>
      <c r="C52" s="290">
        <v>7027</v>
      </c>
      <c r="D52" s="290">
        <v>7931</v>
      </c>
      <c r="E52" s="290">
        <v>8771</v>
      </c>
      <c r="F52" s="343" t="s">
        <v>1187</v>
      </c>
    </row>
    <row r="53" spans="1:6" ht="29" customHeight="1" x14ac:dyDescent="0.35">
      <c r="A53" s="392"/>
      <c r="B53" s="7" t="s">
        <v>15</v>
      </c>
      <c r="C53" s="286">
        <f>IF(C52=0,"",+C52/C51)</f>
        <v>0.6999701165454727</v>
      </c>
      <c r="D53" s="286">
        <f t="shared" ref="D53:E53" si="1">IF(D52=0,"",+D52/D51)</f>
        <v>0.77</v>
      </c>
      <c r="E53" s="286">
        <f t="shared" si="1"/>
        <v>0.82995836487509467</v>
      </c>
      <c r="F53" s="344"/>
    </row>
    <row r="54" spans="1:6" x14ac:dyDescent="0.35">
      <c r="A54" s="33" t="s">
        <v>8</v>
      </c>
      <c r="B54" s="34"/>
      <c r="C54" s="34"/>
      <c r="D54" s="34"/>
      <c r="E54" s="34"/>
      <c r="F54" s="35"/>
    </row>
    <row r="55" spans="1:6" ht="26" customHeight="1" x14ac:dyDescent="0.35">
      <c r="A55" s="391" t="s">
        <v>73</v>
      </c>
      <c r="B55" s="6" t="s">
        <v>7</v>
      </c>
      <c r="C55" s="290">
        <f>C52*5%</f>
        <v>351.35</v>
      </c>
      <c r="D55" s="290">
        <f>D52*7.5%</f>
        <v>594.82499999999993</v>
      </c>
      <c r="E55" s="290">
        <f>E52*10%</f>
        <v>877.1</v>
      </c>
      <c r="F55" s="340" t="s">
        <v>1189</v>
      </c>
    </row>
    <row r="56" spans="1:6" ht="35.5" customHeight="1" x14ac:dyDescent="0.35">
      <c r="A56" s="392"/>
      <c r="B56" s="6" t="s">
        <v>15</v>
      </c>
      <c r="C56" s="286">
        <f>IF(C55=0,"",+C55/C51)</f>
        <v>3.4998505827273638E-2</v>
      </c>
      <c r="D56" s="286">
        <f>IF(D55=0,"",+D55/D51)</f>
        <v>5.7749999999999996E-2</v>
      </c>
      <c r="E56" s="286">
        <f>IF(E55=0,"",+E55/E51)</f>
        <v>8.2995836487509467E-2</v>
      </c>
      <c r="F56" s="341"/>
    </row>
    <row r="57" spans="1:6" ht="26.5" customHeight="1" x14ac:dyDescent="0.35">
      <c r="A57" s="391" t="s">
        <v>74</v>
      </c>
      <c r="B57" s="6" t="s">
        <v>7</v>
      </c>
      <c r="C57" s="285">
        <v>0</v>
      </c>
      <c r="D57" s="285">
        <v>0</v>
      </c>
      <c r="E57" s="285">
        <v>0</v>
      </c>
      <c r="F57" s="61" t="s">
        <v>1186</v>
      </c>
    </row>
    <row r="58" spans="1:6" ht="26.5" customHeight="1" x14ac:dyDescent="0.35">
      <c r="A58" s="392"/>
      <c r="B58" s="6" t="s">
        <v>15</v>
      </c>
      <c r="C58" s="286" t="str">
        <f>IF(C57=0,"",+C57/C51)</f>
        <v/>
      </c>
      <c r="D58" s="286" t="str">
        <f>IF(D57=0,"",+D57/D51)</f>
        <v/>
      </c>
      <c r="E58" s="286" t="str">
        <f>IF(E57=0,"",+E57/E51)</f>
        <v/>
      </c>
      <c r="F58" s="61"/>
    </row>
    <row r="59" spans="1:6" ht="29" customHeight="1" x14ac:dyDescent="0.35">
      <c r="A59" s="391" t="s">
        <v>692</v>
      </c>
      <c r="B59" s="6" t="s">
        <v>7</v>
      </c>
      <c r="C59" s="287">
        <f>+C55+C57</f>
        <v>351.35</v>
      </c>
      <c r="D59" s="287">
        <f>+D55+D57</f>
        <v>594.82499999999993</v>
      </c>
      <c r="E59" s="287">
        <f>+E55+E57</f>
        <v>877.1</v>
      </c>
      <c r="F59" s="61"/>
    </row>
    <row r="60" spans="1:6" ht="29" customHeight="1" x14ac:dyDescent="0.35">
      <c r="A60" s="392"/>
      <c r="B60" s="6" t="s">
        <v>15</v>
      </c>
      <c r="C60" s="286">
        <f>IF(C59=0,"",+C59/C51)</f>
        <v>3.4998505827273638E-2</v>
      </c>
      <c r="D60" s="286">
        <f>IF(D59=0,"",+D59/D51)</f>
        <v>5.7749999999999996E-2</v>
      </c>
      <c r="E60" s="286">
        <f>IF(E59=0,"",+E59/E51)</f>
        <v>8.2995836487509467E-2</v>
      </c>
      <c r="F60" s="61"/>
    </row>
    <row r="61" spans="1:6" x14ac:dyDescent="0.35">
      <c r="A61" s="33" t="s">
        <v>9</v>
      </c>
      <c r="B61" s="34"/>
      <c r="C61" s="34"/>
      <c r="D61" s="34"/>
      <c r="E61" s="34"/>
      <c r="F61" s="35"/>
    </row>
    <row r="62" spans="1:6" ht="30.5" customHeight="1" x14ac:dyDescent="0.35">
      <c r="A62" s="402" t="s">
        <v>695</v>
      </c>
      <c r="B62" s="6" t="s">
        <v>7</v>
      </c>
      <c r="C62" s="288">
        <f>+C51-(C59)</f>
        <v>9687.65</v>
      </c>
      <c r="D62" s="288">
        <f>+D51-(D59)</f>
        <v>9705.1749999999993</v>
      </c>
      <c r="E62" s="288">
        <f>+E51-(E59)</f>
        <v>9690.9</v>
      </c>
      <c r="F62" s="343"/>
    </row>
    <row r="63" spans="1:6" ht="30.5" customHeight="1" x14ac:dyDescent="0.35">
      <c r="A63" s="403"/>
      <c r="B63" s="6" t="s">
        <v>15</v>
      </c>
      <c r="C63" s="286">
        <f>IF(C62=0,"",+C62/C51)</f>
        <v>0.96500149417272629</v>
      </c>
      <c r="D63" s="286">
        <f>IF(D62=0,"",+D62/D51)</f>
        <v>0.94224999999999992</v>
      </c>
      <c r="E63" s="286">
        <f>IF(E62=0,"",+E62/E51)</f>
        <v>0.91700416351249048</v>
      </c>
      <c r="F63" s="344"/>
    </row>
    <row r="64" spans="1:6" x14ac:dyDescent="0.35">
      <c r="A64" s="47" t="s">
        <v>75</v>
      </c>
      <c r="B64" s="34"/>
      <c r="C64" s="34"/>
      <c r="D64" s="34"/>
      <c r="E64" s="34"/>
      <c r="F64" s="35"/>
    </row>
    <row r="65" spans="1:6" ht="29" customHeight="1" x14ac:dyDescent="0.35">
      <c r="A65" s="402" t="s">
        <v>76</v>
      </c>
      <c r="B65" s="7" t="s">
        <v>7</v>
      </c>
      <c r="C65" s="60">
        <f>C52-C55-C57</f>
        <v>6675.65</v>
      </c>
      <c r="D65" s="60">
        <f t="shared" ref="D65:E65" si="2">D52-D55-D57</f>
        <v>7336.1750000000002</v>
      </c>
      <c r="E65" s="60">
        <f t="shared" si="2"/>
        <v>7893.9</v>
      </c>
      <c r="F65" s="343" t="s">
        <v>1190</v>
      </c>
    </row>
    <row r="66" spans="1:6" ht="29" customHeight="1" x14ac:dyDescent="0.35">
      <c r="A66" s="403"/>
      <c r="B66" s="7" t="s">
        <v>15</v>
      </c>
      <c r="C66" s="286">
        <f>IF(C65=0,"",+C65/C51)</f>
        <v>0.66497161071819899</v>
      </c>
      <c r="D66" s="286">
        <f>IF(D65=0,"",+D65/D51)</f>
        <v>0.71225000000000005</v>
      </c>
      <c r="E66" s="286">
        <f>IF(E65=0,"",+E65/E51)</f>
        <v>0.74696252838758515</v>
      </c>
      <c r="F66" s="344"/>
    </row>
    <row r="67" spans="1:6" ht="28" customHeight="1" x14ac:dyDescent="0.35">
      <c r="A67" s="402" t="s">
        <v>716</v>
      </c>
      <c r="B67" s="7" t="s">
        <v>7</v>
      </c>
      <c r="C67" s="288">
        <f>+C65+C59</f>
        <v>7027</v>
      </c>
      <c r="D67" s="288">
        <f>+D65+D59</f>
        <v>7931</v>
      </c>
      <c r="E67" s="288">
        <f>+E65+E59</f>
        <v>8771</v>
      </c>
      <c r="F67" s="343"/>
    </row>
    <row r="68" spans="1:6" ht="28" customHeight="1" x14ac:dyDescent="0.35">
      <c r="A68" s="403"/>
      <c r="B68" s="7" t="s">
        <v>15</v>
      </c>
      <c r="C68" s="286">
        <f>IF(C67=0,"",+C67/C51)</f>
        <v>0.6999701165454727</v>
      </c>
      <c r="D68" s="286">
        <f>IF(D67=0,"",+D67/D51)</f>
        <v>0.77</v>
      </c>
      <c r="E68" s="286">
        <f>IF(E67=0,"",+E67/E51)</f>
        <v>0.82995836487509467</v>
      </c>
      <c r="F68" s="344"/>
    </row>
    <row r="69" spans="1:6" ht="28.5" customHeight="1" x14ac:dyDescent="0.35">
      <c r="A69" s="402" t="s">
        <v>77</v>
      </c>
      <c r="B69" s="7" t="s">
        <v>7</v>
      </c>
      <c r="C69" s="288">
        <f>+C51-(C67)</f>
        <v>3012</v>
      </c>
      <c r="D69" s="288">
        <f>+D51-(D67)</f>
        <v>2369</v>
      </c>
      <c r="E69" s="288">
        <f>+E51-(E67)</f>
        <v>1797</v>
      </c>
      <c r="F69" s="343"/>
    </row>
    <row r="70" spans="1:6" ht="28.5" customHeight="1" thickBot="1" x14ac:dyDescent="0.4">
      <c r="A70" s="408"/>
      <c r="B70" s="7" t="s">
        <v>15</v>
      </c>
      <c r="C70" s="286">
        <f>IF(C69=0,"",+C69/C51)</f>
        <v>0.30002988345452736</v>
      </c>
      <c r="D70" s="286">
        <f>IF(D69=0,"",+D69/D51)</f>
        <v>0.23</v>
      </c>
      <c r="E70" s="286">
        <f>IF(E69=0,"",+E69/E51)</f>
        <v>0.17004163512490539</v>
      </c>
      <c r="F70" s="344"/>
    </row>
    <row r="71" spans="1:6" x14ac:dyDescent="0.35">
      <c r="A71" s="404" t="s">
        <v>24</v>
      </c>
      <c r="B71" s="404"/>
      <c r="C71" s="404"/>
      <c r="D71" s="404"/>
      <c r="E71" s="404"/>
      <c r="F71" s="405" t="str">
        <f ca="1">Translations!$G$116</f>
        <v>Dernière version mise à jour mars 2020</v>
      </c>
    </row>
    <row r="72" spans="1:6" x14ac:dyDescent="0.35">
      <c r="A72" s="407" t="s">
        <v>516</v>
      </c>
      <c r="B72" s="407"/>
      <c r="C72" s="407"/>
      <c r="D72" s="407"/>
      <c r="E72" s="407"/>
      <c r="F72" s="406"/>
    </row>
    <row r="73" spans="1:6" ht="15" thickBot="1" x14ac:dyDescent="0.4">
      <c r="A73" s="407" t="s">
        <v>517</v>
      </c>
      <c r="B73" s="407"/>
      <c r="C73" s="407"/>
      <c r="D73" s="407"/>
      <c r="E73" s="407"/>
      <c r="F73" s="406"/>
    </row>
    <row r="74" spans="1:6" ht="16" thickBot="1" x14ac:dyDescent="0.4">
      <c r="A74" s="388" t="s">
        <v>715</v>
      </c>
      <c r="B74" s="389"/>
      <c r="C74" s="389"/>
      <c r="D74" s="389"/>
      <c r="E74" s="389"/>
      <c r="F74" s="390"/>
    </row>
    <row r="75" spans="1:6" ht="32" customHeight="1" thickBot="1" x14ac:dyDescent="0.4">
      <c r="A75" s="36" t="s">
        <v>0</v>
      </c>
      <c r="B75" s="37"/>
      <c r="C75" s="37"/>
      <c r="D75" s="37"/>
      <c r="E75" s="37"/>
      <c r="F75" s="38"/>
    </row>
    <row r="76" spans="1:6" ht="30.5" customHeight="1" x14ac:dyDescent="0.35">
      <c r="A76" s="32" t="s">
        <v>30</v>
      </c>
      <c r="B76" s="393" t="s">
        <v>777</v>
      </c>
      <c r="C76" s="394"/>
      <c r="D76" s="394"/>
      <c r="E76" s="394"/>
      <c r="F76" s="395"/>
    </row>
    <row r="77" spans="1:6" ht="30.5" customHeight="1" x14ac:dyDescent="0.35">
      <c r="A77" s="32" t="s">
        <v>1</v>
      </c>
      <c r="B77" s="326" t="s">
        <v>1152</v>
      </c>
      <c r="C77" s="327"/>
      <c r="D77" s="327"/>
      <c r="E77" s="327"/>
      <c r="F77" s="328"/>
    </row>
    <row r="78" spans="1:6" ht="30.5" customHeight="1" x14ac:dyDescent="0.35">
      <c r="A78" s="79" t="s">
        <v>93</v>
      </c>
      <c r="B78" s="337" t="s">
        <v>781</v>
      </c>
      <c r="C78" s="338"/>
      <c r="D78" s="338"/>
      <c r="E78" s="338"/>
      <c r="F78" s="339"/>
    </row>
    <row r="79" spans="1:6" x14ac:dyDescent="0.35">
      <c r="A79" s="39" t="s">
        <v>13</v>
      </c>
      <c r="B79" s="40"/>
      <c r="C79" s="40"/>
      <c r="D79" s="40"/>
      <c r="E79" s="40"/>
      <c r="F79" s="41"/>
    </row>
    <row r="80" spans="1:6" ht="29.5" customHeight="1" x14ac:dyDescent="0.35">
      <c r="A80" s="45" t="s">
        <v>14</v>
      </c>
      <c r="B80" s="293">
        <v>0.54</v>
      </c>
      <c r="C80" s="21" t="s">
        <v>10</v>
      </c>
      <c r="D80" s="56">
        <v>2019</v>
      </c>
      <c r="E80" s="46" t="s">
        <v>11</v>
      </c>
      <c r="F80" s="291" t="s">
        <v>1166</v>
      </c>
    </row>
    <row r="81" spans="1:6" ht="29.5" customHeight="1" thickBot="1" x14ac:dyDescent="0.4">
      <c r="A81" s="31" t="s">
        <v>12</v>
      </c>
      <c r="B81" s="323"/>
      <c r="C81" s="324"/>
      <c r="D81" s="324"/>
      <c r="E81" s="324"/>
      <c r="F81" s="325"/>
    </row>
    <row r="82" spans="1:6" ht="15" thickBot="1" x14ac:dyDescent="0.4">
      <c r="A82" s="43"/>
      <c r="B82" s="42"/>
      <c r="C82" s="42"/>
      <c r="D82" s="42"/>
      <c r="E82" s="42"/>
      <c r="F82" s="44"/>
    </row>
    <row r="83" spans="1:6" ht="27.5" customHeight="1" x14ac:dyDescent="0.35">
      <c r="A83" s="396"/>
      <c r="B83" s="397"/>
      <c r="C83" s="22" t="s">
        <v>2</v>
      </c>
      <c r="D83" s="22" t="s">
        <v>3</v>
      </c>
      <c r="E83" s="22" t="s">
        <v>4</v>
      </c>
      <c r="F83" s="400" t="s">
        <v>31</v>
      </c>
    </row>
    <row r="84" spans="1:6" ht="27.5" customHeight="1" x14ac:dyDescent="0.35">
      <c r="A84" s="398"/>
      <c r="B84" s="399"/>
      <c r="C84" s="56">
        <v>2021</v>
      </c>
      <c r="D84" s="56">
        <v>2022</v>
      </c>
      <c r="E84" s="56">
        <v>2023</v>
      </c>
      <c r="F84" s="401"/>
    </row>
    <row r="85" spans="1:6" ht="28" x14ac:dyDescent="0.35">
      <c r="A85" s="28" t="s">
        <v>6</v>
      </c>
      <c r="B85" s="29"/>
      <c r="C85" s="29"/>
      <c r="D85" s="29"/>
      <c r="E85" s="29"/>
      <c r="F85" s="30"/>
    </row>
    <row r="86" spans="1:6" ht="32" customHeight="1" x14ac:dyDescent="0.35">
      <c r="A86" s="5" t="s">
        <v>32</v>
      </c>
      <c r="B86" s="6" t="s">
        <v>7</v>
      </c>
      <c r="C86" s="60">
        <v>48327</v>
      </c>
      <c r="D86" s="60">
        <v>50827</v>
      </c>
      <c r="E86" s="60">
        <v>53327</v>
      </c>
      <c r="F86" s="291" t="s">
        <v>1196</v>
      </c>
    </row>
    <row r="87" spans="1:6" ht="29.5" customHeight="1" x14ac:dyDescent="0.35">
      <c r="A87" s="391" t="s">
        <v>33</v>
      </c>
      <c r="B87" s="7" t="s">
        <v>7</v>
      </c>
      <c r="C87" s="60">
        <v>31896</v>
      </c>
      <c r="D87" s="60">
        <v>36595</v>
      </c>
      <c r="E87" s="60">
        <v>41595</v>
      </c>
      <c r="F87" s="343" t="s">
        <v>1187</v>
      </c>
    </row>
    <row r="88" spans="1:6" ht="29.5" customHeight="1" x14ac:dyDescent="0.35">
      <c r="A88" s="392"/>
      <c r="B88" s="7" t="s">
        <v>15</v>
      </c>
      <c r="C88" s="286">
        <f>IF(C87=0,"",+C87/C86)</f>
        <v>0.66000372462598544</v>
      </c>
      <c r="D88" s="286">
        <f t="shared" ref="D88:E88" si="3">IF(D87=0,"",+D87/D86)</f>
        <v>0.71999134318374092</v>
      </c>
      <c r="E88" s="286">
        <f t="shared" si="3"/>
        <v>0.77999887486639041</v>
      </c>
      <c r="F88" s="344"/>
    </row>
    <row r="89" spans="1:6" ht="29.5" customHeight="1" x14ac:dyDescent="0.35">
      <c r="A89" s="33" t="s">
        <v>8</v>
      </c>
      <c r="B89" s="34"/>
      <c r="C89" s="34"/>
      <c r="D89" s="34"/>
      <c r="E89" s="34"/>
      <c r="F89" s="35"/>
    </row>
    <row r="90" spans="1:6" ht="29.5" customHeight="1" x14ac:dyDescent="0.35">
      <c r="A90" s="391" t="s">
        <v>73</v>
      </c>
      <c r="B90" s="6" t="s">
        <v>7</v>
      </c>
      <c r="C90" s="60">
        <f>C87*5%</f>
        <v>1594.8000000000002</v>
      </c>
      <c r="D90" s="60">
        <f>D87*7.5%</f>
        <v>2744.625</v>
      </c>
      <c r="E90" s="60">
        <f>E87*10%</f>
        <v>4159.5</v>
      </c>
      <c r="F90" s="340" t="s">
        <v>1189</v>
      </c>
    </row>
    <row r="91" spans="1:6" ht="29.5" customHeight="1" x14ac:dyDescent="0.35">
      <c r="A91" s="392"/>
      <c r="B91" s="6" t="s">
        <v>15</v>
      </c>
      <c r="C91" s="286">
        <f>IF(C90=0,"",+C90/C86)</f>
        <v>3.3000186231299279E-2</v>
      </c>
      <c r="D91" s="286">
        <f>IF(D90=0,"",+D90/D86)</f>
        <v>5.3999350738780566E-2</v>
      </c>
      <c r="E91" s="286">
        <f>IF(E90=0,"",+E90/E86)</f>
        <v>7.7999887486639038E-2</v>
      </c>
      <c r="F91" s="341"/>
    </row>
    <row r="92" spans="1:6" ht="29.5" customHeight="1" x14ac:dyDescent="0.35">
      <c r="A92" s="391" t="s">
        <v>74</v>
      </c>
      <c r="B92" s="6" t="s">
        <v>7</v>
      </c>
      <c r="C92" s="285">
        <v>0</v>
      </c>
      <c r="D92" s="285">
        <v>0</v>
      </c>
      <c r="E92" s="285">
        <v>0</v>
      </c>
      <c r="F92" s="61" t="s">
        <v>1195</v>
      </c>
    </row>
    <row r="93" spans="1:6" ht="29.5" customHeight="1" x14ac:dyDescent="0.35">
      <c r="A93" s="392"/>
      <c r="B93" s="6" t="s">
        <v>15</v>
      </c>
      <c r="C93" s="286" t="str">
        <f>IF(C92=0,"",+C92/C86)</f>
        <v/>
      </c>
      <c r="D93" s="286" t="str">
        <f>IF(D92=0,"",+D92/D86)</f>
        <v/>
      </c>
      <c r="E93" s="286" t="str">
        <f>IF(E92=0,"",+E92/E86)</f>
        <v/>
      </c>
      <c r="F93" s="61"/>
    </row>
    <row r="94" spans="1:6" ht="29.5" customHeight="1" x14ac:dyDescent="0.35">
      <c r="A94" s="391" t="s">
        <v>692</v>
      </c>
      <c r="B94" s="6" t="s">
        <v>7</v>
      </c>
      <c r="C94" s="287">
        <f>+C90+C92</f>
        <v>1594.8000000000002</v>
      </c>
      <c r="D94" s="287">
        <f>+D90+D92</f>
        <v>2744.625</v>
      </c>
      <c r="E94" s="287">
        <f>+E90+E92</f>
        <v>4159.5</v>
      </c>
      <c r="F94" s="61"/>
    </row>
    <row r="95" spans="1:6" ht="29.5" customHeight="1" x14ac:dyDescent="0.35">
      <c r="A95" s="392"/>
      <c r="B95" s="6" t="s">
        <v>15</v>
      </c>
      <c r="C95" s="286">
        <f>IF(C94=0,"",+C94/C86)</f>
        <v>3.3000186231299279E-2</v>
      </c>
      <c r="D95" s="286">
        <f>IF(D94=0,"",+D94/D86)</f>
        <v>5.3999350738780566E-2</v>
      </c>
      <c r="E95" s="286">
        <f>IF(E94=0,"",+E94/E86)</f>
        <v>7.7999887486639038E-2</v>
      </c>
      <c r="F95" s="61"/>
    </row>
    <row r="96" spans="1:6" ht="29.5" customHeight="1" x14ac:dyDescent="0.35">
      <c r="A96" s="33" t="s">
        <v>9</v>
      </c>
      <c r="B96" s="34"/>
      <c r="C96" s="34"/>
      <c r="D96" s="34"/>
      <c r="E96" s="34"/>
      <c r="F96" s="35"/>
    </row>
    <row r="97" spans="1:6" ht="29.5" customHeight="1" x14ac:dyDescent="0.35">
      <c r="A97" s="402" t="s">
        <v>695</v>
      </c>
      <c r="B97" s="6" t="s">
        <v>7</v>
      </c>
      <c r="C97" s="288">
        <f>+C86-(C94)</f>
        <v>46732.2</v>
      </c>
      <c r="D97" s="288">
        <f>+D86-(D94)</f>
        <v>48082.375</v>
      </c>
      <c r="E97" s="288">
        <f>+E86-(E94)</f>
        <v>49167.5</v>
      </c>
      <c r="F97" s="343"/>
    </row>
    <row r="98" spans="1:6" ht="29.5" customHeight="1" x14ac:dyDescent="0.35">
      <c r="A98" s="403"/>
      <c r="B98" s="6" t="s">
        <v>15</v>
      </c>
      <c r="C98" s="286">
        <f>IF(C97=0,"",+C97/C86)</f>
        <v>0.9669998137687007</v>
      </c>
      <c r="D98" s="286">
        <f>IF(D97=0,"",+D97/D86)</f>
        <v>0.94600064926121941</v>
      </c>
      <c r="E98" s="286">
        <f>IF(E97=0,"",+E97/E86)</f>
        <v>0.922000112513361</v>
      </c>
      <c r="F98" s="344"/>
    </row>
    <row r="99" spans="1:6" ht="29.5" customHeight="1" x14ac:dyDescent="0.35">
      <c r="A99" s="47" t="s">
        <v>75</v>
      </c>
      <c r="B99" s="34"/>
      <c r="C99" s="34"/>
      <c r="D99" s="34"/>
      <c r="E99" s="34"/>
      <c r="F99" s="35"/>
    </row>
    <row r="100" spans="1:6" ht="29.5" customHeight="1" x14ac:dyDescent="0.35">
      <c r="A100" s="402" t="s">
        <v>76</v>
      </c>
      <c r="B100" s="7" t="s">
        <v>7</v>
      </c>
      <c r="C100" s="60">
        <f>+C87</f>
        <v>31896</v>
      </c>
      <c r="D100" s="60">
        <f t="shared" ref="D100:E100" si="4">+D87</f>
        <v>36595</v>
      </c>
      <c r="E100" s="60">
        <f t="shared" si="4"/>
        <v>41595</v>
      </c>
      <c r="F100" s="343" t="s">
        <v>1194</v>
      </c>
    </row>
    <row r="101" spans="1:6" ht="29.5" customHeight="1" x14ac:dyDescent="0.35">
      <c r="A101" s="403"/>
      <c r="B101" s="7" t="s">
        <v>15</v>
      </c>
      <c r="C101" s="286">
        <f>IF(C100=0,"",+C100/C86)</f>
        <v>0.66000372462598544</v>
      </c>
      <c r="D101" s="286">
        <f>IF(D100=0,"",+D100/D86)</f>
        <v>0.71999134318374092</v>
      </c>
      <c r="E101" s="286">
        <f>IF(E100=0,"",+E100/E86)</f>
        <v>0.77999887486639041</v>
      </c>
      <c r="F101" s="344"/>
    </row>
    <row r="102" spans="1:6" ht="29.5" customHeight="1" x14ac:dyDescent="0.35">
      <c r="A102" s="402" t="s">
        <v>716</v>
      </c>
      <c r="B102" s="7" t="s">
        <v>7</v>
      </c>
      <c r="C102" s="288">
        <f>+C100+C94</f>
        <v>33490.800000000003</v>
      </c>
      <c r="D102" s="288">
        <f>+D100+D94</f>
        <v>39339.625</v>
      </c>
      <c r="E102" s="288">
        <f>+E100+E94</f>
        <v>45754.5</v>
      </c>
      <c r="F102" s="343"/>
    </row>
    <row r="103" spans="1:6" ht="29.5" customHeight="1" x14ac:dyDescent="0.35">
      <c r="A103" s="403"/>
      <c r="B103" s="7" t="s">
        <v>15</v>
      </c>
      <c r="C103" s="286">
        <f>IF(C102=0,"",+C102/C86)</f>
        <v>0.69300391085728485</v>
      </c>
      <c r="D103" s="286">
        <f>IF(D102=0,"",+D102/D86)</f>
        <v>0.77399069392252151</v>
      </c>
      <c r="E103" s="286">
        <f>IF(E102=0,"",+E102/E86)</f>
        <v>0.85799876235302941</v>
      </c>
      <c r="F103" s="344"/>
    </row>
    <row r="104" spans="1:6" ht="29.5" customHeight="1" x14ac:dyDescent="0.35">
      <c r="A104" s="402" t="s">
        <v>77</v>
      </c>
      <c r="B104" s="7" t="s">
        <v>7</v>
      </c>
      <c r="C104" s="288">
        <f>+C86-(C102)</f>
        <v>14836.199999999997</v>
      </c>
      <c r="D104" s="288">
        <f>+D86-(D102)</f>
        <v>11487.375</v>
      </c>
      <c r="E104" s="288">
        <f>+E86-(E102)</f>
        <v>7572.5</v>
      </c>
      <c r="F104" s="343"/>
    </row>
    <row r="105" spans="1:6" ht="29.5" customHeight="1" thickBot="1" x14ac:dyDescent="0.4">
      <c r="A105" s="408"/>
      <c r="B105" s="7" t="s">
        <v>15</v>
      </c>
      <c r="C105" s="286">
        <f>IF(C104=0,"",+C104/C86)</f>
        <v>0.3069960891427152</v>
      </c>
      <c r="D105" s="286">
        <f>IF(D104=0,"",+D104/D86)</f>
        <v>0.22600930607747852</v>
      </c>
      <c r="E105" s="286">
        <f>IF(E104=0,"",+E104/E86)</f>
        <v>0.14200123764697059</v>
      </c>
      <c r="F105" s="344"/>
    </row>
    <row r="106" spans="1:6" x14ac:dyDescent="0.35">
      <c r="A106" s="404" t="s">
        <v>24</v>
      </c>
      <c r="B106" s="404"/>
      <c r="C106" s="404"/>
      <c r="D106" s="404"/>
      <c r="E106" s="404"/>
      <c r="F106" s="405" t="str">
        <f ca="1">Translations!$G$116</f>
        <v>Dernière version mise à jour mars 2020</v>
      </c>
    </row>
    <row r="107" spans="1:6" x14ac:dyDescent="0.35">
      <c r="A107" s="407" t="s">
        <v>516</v>
      </c>
      <c r="B107" s="407"/>
      <c r="C107" s="407"/>
      <c r="D107" s="407"/>
      <c r="E107" s="407"/>
      <c r="F107" s="406"/>
    </row>
    <row r="108" spans="1:6" ht="15" thickBot="1" x14ac:dyDescent="0.4">
      <c r="A108" s="407" t="s">
        <v>517</v>
      </c>
      <c r="B108" s="407"/>
      <c r="C108" s="407"/>
      <c r="D108" s="407"/>
      <c r="E108" s="407"/>
      <c r="F108" s="406"/>
    </row>
    <row r="109" spans="1:6" ht="16" thickBot="1" x14ac:dyDescent="0.4">
      <c r="A109" s="388" t="s">
        <v>715</v>
      </c>
      <c r="B109" s="389"/>
      <c r="C109" s="389"/>
      <c r="D109" s="389"/>
      <c r="E109" s="389"/>
      <c r="F109" s="390"/>
    </row>
    <row r="110" spans="1:6" ht="35" customHeight="1" thickBot="1" x14ac:dyDescent="0.4">
      <c r="A110" s="36" t="s">
        <v>0</v>
      </c>
      <c r="B110" s="37"/>
      <c r="C110" s="37"/>
      <c r="D110" s="37"/>
      <c r="E110" s="37"/>
      <c r="F110" s="38"/>
    </row>
    <row r="111" spans="1:6" ht="27.5" customHeight="1" x14ac:dyDescent="0.35">
      <c r="A111" s="32" t="s">
        <v>30</v>
      </c>
      <c r="B111" s="393" t="s">
        <v>777</v>
      </c>
      <c r="C111" s="394"/>
      <c r="D111" s="394"/>
      <c r="E111" s="394"/>
      <c r="F111" s="395"/>
    </row>
    <row r="112" spans="1:6" ht="27.5" customHeight="1" x14ac:dyDescent="0.35">
      <c r="A112" s="32" t="s">
        <v>1</v>
      </c>
      <c r="B112" s="326" t="s">
        <v>1152</v>
      </c>
      <c r="C112" s="327"/>
      <c r="D112" s="327"/>
      <c r="E112" s="327"/>
      <c r="F112" s="328"/>
    </row>
    <row r="113" spans="1:6" ht="27.5" customHeight="1" x14ac:dyDescent="0.35">
      <c r="A113" s="79" t="s">
        <v>93</v>
      </c>
      <c r="B113" s="337" t="s">
        <v>1192</v>
      </c>
      <c r="C113" s="338"/>
      <c r="D113" s="338"/>
      <c r="E113" s="338"/>
      <c r="F113" s="339"/>
    </row>
    <row r="114" spans="1:6" ht="27.5" customHeight="1" x14ac:dyDescent="0.35">
      <c r="A114" s="39" t="s">
        <v>13</v>
      </c>
      <c r="B114" s="40"/>
      <c r="C114" s="40"/>
      <c r="D114" s="40"/>
      <c r="E114" s="40"/>
      <c r="F114" s="41"/>
    </row>
    <row r="115" spans="1:6" ht="27.5" customHeight="1" x14ac:dyDescent="0.35">
      <c r="A115" s="45" t="s">
        <v>14</v>
      </c>
      <c r="B115" s="289">
        <v>0.38900000000000001</v>
      </c>
      <c r="C115" s="21" t="s">
        <v>10</v>
      </c>
      <c r="D115" s="56">
        <v>2019</v>
      </c>
      <c r="E115" s="46" t="s">
        <v>11</v>
      </c>
      <c r="F115" s="291" t="s">
        <v>1166</v>
      </c>
    </row>
    <row r="116" spans="1:6" ht="27.5" customHeight="1" thickBot="1" x14ac:dyDescent="0.4">
      <c r="A116" s="31" t="s">
        <v>12</v>
      </c>
      <c r="B116" s="323" t="s">
        <v>1193</v>
      </c>
      <c r="C116" s="324"/>
      <c r="D116" s="324"/>
      <c r="E116" s="324"/>
      <c r="F116" s="325"/>
    </row>
    <row r="117" spans="1:6" ht="27.5" customHeight="1" thickBot="1" x14ac:dyDescent="0.4">
      <c r="A117" s="43"/>
      <c r="B117" s="42"/>
      <c r="C117" s="42"/>
      <c r="D117" s="42"/>
      <c r="E117" s="42"/>
      <c r="F117" s="44"/>
    </row>
    <row r="118" spans="1:6" ht="27.5" customHeight="1" x14ac:dyDescent="0.35">
      <c r="A118" s="396"/>
      <c r="B118" s="397"/>
      <c r="C118" s="22" t="s">
        <v>2</v>
      </c>
      <c r="D118" s="22" t="s">
        <v>3</v>
      </c>
      <c r="E118" s="22" t="s">
        <v>4</v>
      </c>
      <c r="F118" s="400" t="s">
        <v>31</v>
      </c>
    </row>
    <row r="119" spans="1:6" ht="27.5" customHeight="1" x14ac:dyDescent="0.35">
      <c r="A119" s="398"/>
      <c r="B119" s="399"/>
      <c r="C119" s="56">
        <v>2021</v>
      </c>
      <c r="D119" s="56">
        <v>2022</v>
      </c>
      <c r="E119" s="56">
        <v>2023</v>
      </c>
      <c r="F119" s="401"/>
    </row>
    <row r="120" spans="1:6" ht="27.5" customHeight="1" x14ac:dyDescent="0.35">
      <c r="A120" s="28" t="s">
        <v>6</v>
      </c>
      <c r="B120" s="29"/>
      <c r="C120" s="29"/>
      <c r="D120" s="29"/>
      <c r="E120" s="29"/>
      <c r="F120" s="30"/>
    </row>
    <row r="121" spans="1:6" ht="33.5" customHeight="1" x14ac:dyDescent="0.35">
      <c r="A121" s="5" t="s">
        <v>32</v>
      </c>
      <c r="B121" s="6" t="s">
        <v>7</v>
      </c>
      <c r="C121" s="60">
        <v>830</v>
      </c>
      <c r="D121" s="60">
        <v>852</v>
      </c>
      <c r="E121" s="60">
        <v>874</v>
      </c>
      <c r="F121" s="291" t="s">
        <v>1220</v>
      </c>
    </row>
    <row r="122" spans="1:6" ht="27.5" customHeight="1" x14ac:dyDescent="0.35">
      <c r="A122" s="391" t="s">
        <v>33</v>
      </c>
      <c r="B122" s="7" t="s">
        <v>7</v>
      </c>
      <c r="C122" s="60">
        <f>C121*60%</f>
        <v>498</v>
      </c>
      <c r="D122" s="60">
        <f>D121*70%</f>
        <v>596.4</v>
      </c>
      <c r="E122" s="60">
        <f>E121*80%</f>
        <v>699.2</v>
      </c>
      <c r="F122" s="343" t="s">
        <v>1187</v>
      </c>
    </row>
    <row r="123" spans="1:6" ht="27.5" customHeight="1" x14ac:dyDescent="0.35">
      <c r="A123" s="392"/>
      <c r="B123" s="7" t="s">
        <v>15</v>
      </c>
      <c r="C123" s="286">
        <f>IF(C122=0,"",+C122/C121)</f>
        <v>0.6</v>
      </c>
      <c r="D123" s="286">
        <f t="shared" ref="D123:E123" si="5">IF(D122=0,"",+D122/D121)</f>
        <v>0.7</v>
      </c>
      <c r="E123" s="286">
        <f t="shared" si="5"/>
        <v>0.8</v>
      </c>
      <c r="F123" s="344"/>
    </row>
    <row r="124" spans="1:6" ht="27.5" customHeight="1" x14ac:dyDescent="0.35">
      <c r="A124" s="33" t="s">
        <v>8</v>
      </c>
      <c r="B124" s="34"/>
      <c r="C124" s="34"/>
      <c r="D124" s="34"/>
      <c r="E124" s="34"/>
      <c r="F124" s="35"/>
    </row>
    <row r="125" spans="1:6" ht="27.5" customHeight="1" x14ac:dyDescent="0.35">
      <c r="A125" s="391" t="s">
        <v>73</v>
      </c>
      <c r="B125" s="6" t="s">
        <v>7</v>
      </c>
      <c r="C125" s="60">
        <f>C122*5%</f>
        <v>24.900000000000002</v>
      </c>
      <c r="D125" s="60">
        <f>D122*7.5%</f>
        <v>44.73</v>
      </c>
      <c r="E125" s="60">
        <f>E122*10%</f>
        <v>69.92</v>
      </c>
      <c r="F125" s="340" t="s">
        <v>1189</v>
      </c>
    </row>
    <row r="126" spans="1:6" ht="27.5" customHeight="1" x14ac:dyDescent="0.35">
      <c r="A126" s="392"/>
      <c r="B126" s="6" t="s">
        <v>15</v>
      </c>
      <c r="C126" s="286">
        <f>IF(C125=0,"",+C125/C121)</f>
        <v>3.0000000000000002E-2</v>
      </c>
      <c r="D126" s="286">
        <f>IF(D125=0,"",+D125/D121)</f>
        <v>5.2499999999999998E-2</v>
      </c>
      <c r="E126" s="286">
        <f>IF(E125=0,"",+E125/E121)</f>
        <v>0.08</v>
      </c>
      <c r="F126" s="341"/>
    </row>
    <row r="127" spans="1:6" ht="27.5" customHeight="1" x14ac:dyDescent="0.35">
      <c r="A127" s="391" t="s">
        <v>74</v>
      </c>
      <c r="B127" s="6" t="s">
        <v>7</v>
      </c>
      <c r="C127" s="285">
        <v>0</v>
      </c>
      <c r="D127" s="285">
        <v>0</v>
      </c>
      <c r="E127" s="285">
        <v>0</v>
      </c>
      <c r="F127" s="61" t="s">
        <v>1197</v>
      </c>
    </row>
    <row r="128" spans="1:6" ht="27.5" customHeight="1" x14ac:dyDescent="0.35">
      <c r="A128" s="392"/>
      <c r="B128" s="6" t="s">
        <v>15</v>
      </c>
      <c r="C128" s="286" t="str">
        <f>IF(C127=0,"",+C127/C121)</f>
        <v/>
      </c>
      <c r="D128" s="286" t="str">
        <f>IF(D127=0,"",+D127/D121)</f>
        <v/>
      </c>
      <c r="E128" s="286" t="str">
        <f>IF(E127=0,"",+E127/E121)</f>
        <v/>
      </c>
      <c r="F128" s="61"/>
    </row>
    <row r="129" spans="1:6" ht="27.5" customHeight="1" x14ac:dyDescent="0.35">
      <c r="A129" s="391" t="s">
        <v>692</v>
      </c>
      <c r="B129" s="6" t="s">
        <v>7</v>
      </c>
      <c r="C129" s="287">
        <f>+C125+C127</f>
        <v>24.900000000000002</v>
      </c>
      <c r="D129" s="287">
        <f>+D125+D127</f>
        <v>44.73</v>
      </c>
      <c r="E129" s="287">
        <f>+E125+E127</f>
        <v>69.92</v>
      </c>
      <c r="F129" s="61"/>
    </row>
    <row r="130" spans="1:6" ht="27.5" customHeight="1" x14ac:dyDescent="0.35">
      <c r="A130" s="392"/>
      <c r="B130" s="6" t="s">
        <v>15</v>
      </c>
      <c r="C130" s="286">
        <f>IF(C129=0,"",+C129/C121)</f>
        <v>3.0000000000000002E-2</v>
      </c>
      <c r="D130" s="286">
        <f>IF(D129=0,"",+D129/D121)</f>
        <v>5.2499999999999998E-2</v>
      </c>
      <c r="E130" s="286">
        <f>IF(E129=0,"",+E129/E121)</f>
        <v>0.08</v>
      </c>
      <c r="F130" s="61"/>
    </row>
    <row r="131" spans="1:6" ht="27.5" customHeight="1" x14ac:dyDescent="0.35">
      <c r="A131" s="33" t="s">
        <v>9</v>
      </c>
      <c r="B131" s="34"/>
      <c r="C131" s="34"/>
      <c r="D131" s="34"/>
      <c r="E131" s="34"/>
      <c r="F131" s="35"/>
    </row>
    <row r="132" spans="1:6" ht="27.5" customHeight="1" x14ac:dyDescent="0.35">
      <c r="A132" s="402" t="s">
        <v>695</v>
      </c>
      <c r="B132" s="6" t="s">
        <v>7</v>
      </c>
      <c r="C132" s="288">
        <f>+C121-(C129)</f>
        <v>805.1</v>
      </c>
      <c r="D132" s="288">
        <f>+D121-(D129)</f>
        <v>807.27</v>
      </c>
      <c r="E132" s="288">
        <f>+E121-(E129)</f>
        <v>804.08</v>
      </c>
      <c r="F132" s="343"/>
    </row>
    <row r="133" spans="1:6" ht="27.5" customHeight="1" x14ac:dyDescent="0.35">
      <c r="A133" s="403"/>
      <c r="B133" s="6" t="s">
        <v>15</v>
      </c>
      <c r="C133" s="286">
        <f>IF(C132=0,"",+C132/C121)</f>
        <v>0.97</v>
      </c>
      <c r="D133" s="286">
        <f>IF(D132=0,"",+D132/D121)</f>
        <v>0.94750000000000001</v>
      </c>
      <c r="E133" s="286">
        <f>IF(E132=0,"",+E132/E121)</f>
        <v>0.92</v>
      </c>
      <c r="F133" s="344"/>
    </row>
    <row r="134" spans="1:6" ht="27.5" customHeight="1" x14ac:dyDescent="0.35">
      <c r="A134" s="47" t="s">
        <v>75</v>
      </c>
      <c r="B134" s="34"/>
      <c r="C134" s="34"/>
      <c r="D134" s="34"/>
      <c r="E134" s="34"/>
      <c r="F134" s="35"/>
    </row>
    <row r="135" spans="1:6" ht="27.5" customHeight="1" x14ac:dyDescent="0.35">
      <c r="A135" s="402" t="s">
        <v>76</v>
      </c>
      <c r="B135" s="7" t="s">
        <v>7</v>
      </c>
      <c r="C135" s="60">
        <f>C122-C125-C127</f>
        <v>473.1</v>
      </c>
      <c r="D135" s="60">
        <f t="shared" ref="D135:E135" si="6">D122-D125-D127</f>
        <v>551.66999999999996</v>
      </c>
      <c r="E135" s="60">
        <f t="shared" si="6"/>
        <v>629.28000000000009</v>
      </c>
      <c r="F135" s="343" t="s">
        <v>1238</v>
      </c>
    </row>
    <row r="136" spans="1:6" ht="27.5" customHeight="1" x14ac:dyDescent="0.35">
      <c r="A136" s="403"/>
      <c r="B136" s="7" t="s">
        <v>15</v>
      </c>
      <c r="C136" s="286">
        <f>IF(C135=0,"",+C135/C121)</f>
        <v>0.57000000000000006</v>
      </c>
      <c r="D136" s="286">
        <f>IF(D135=0,"",+D135/D121)</f>
        <v>0.64749999999999996</v>
      </c>
      <c r="E136" s="286">
        <f>IF(E135=0,"",+E135/E121)</f>
        <v>0.72000000000000008</v>
      </c>
      <c r="F136" s="344"/>
    </row>
    <row r="137" spans="1:6" ht="27.5" customHeight="1" x14ac:dyDescent="0.35">
      <c r="A137" s="402" t="s">
        <v>716</v>
      </c>
      <c r="B137" s="7" t="s">
        <v>7</v>
      </c>
      <c r="C137" s="288">
        <f>+C135+C129</f>
        <v>498</v>
      </c>
      <c r="D137" s="288">
        <f>+D135+D129</f>
        <v>596.4</v>
      </c>
      <c r="E137" s="288">
        <f>+E135+E129</f>
        <v>699.2</v>
      </c>
      <c r="F137" s="343"/>
    </row>
    <row r="138" spans="1:6" ht="27.5" customHeight="1" x14ac:dyDescent="0.35">
      <c r="A138" s="403"/>
      <c r="B138" s="7" t="s">
        <v>15</v>
      </c>
      <c r="C138" s="286">
        <f>IF(C137=0,"",+C137/C121)</f>
        <v>0.6</v>
      </c>
      <c r="D138" s="286">
        <f>IF(D137=0,"",+D137/D121)</f>
        <v>0.7</v>
      </c>
      <c r="E138" s="286">
        <f>IF(E137=0,"",+E137/E121)</f>
        <v>0.8</v>
      </c>
      <c r="F138" s="344"/>
    </row>
    <row r="139" spans="1:6" ht="27.5" customHeight="1" x14ac:dyDescent="0.35">
      <c r="A139" s="402" t="s">
        <v>77</v>
      </c>
      <c r="B139" s="7" t="s">
        <v>7</v>
      </c>
      <c r="C139" s="288">
        <f>+C121-(C137)</f>
        <v>332</v>
      </c>
      <c r="D139" s="288">
        <f>+D121-(D137)</f>
        <v>255.60000000000002</v>
      </c>
      <c r="E139" s="288">
        <f>+E121-(E137)</f>
        <v>174.79999999999995</v>
      </c>
      <c r="F139" s="343"/>
    </row>
    <row r="140" spans="1:6" ht="27.5" customHeight="1" thickBot="1" x14ac:dyDescent="0.4">
      <c r="A140" s="408"/>
      <c r="B140" s="7" t="s">
        <v>15</v>
      </c>
      <c r="C140" s="286">
        <f>IF(C139=0,"",+C139/C121)</f>
        <v>0.4</v>
      </c>
      <c r="D140" s="286">
        <f>IF(D139=0,"",+D139/D121)</f>
        <v>0.30000000000000004</v>
      </c>
      <c r="E140" s="286">
        <f>IF(E139=0,"",+E139/E121)</f>
        <v>0.19999999999999996</v>
      </c>
      <c r="F140" s="344"/>
    </row>
    <row r="141" spans="1:6" x14ac:dyDescent="0.35">
      <c r="A141" s="404" t="s">
        <v>24</v>
      </c>
      <c r="B141" s="404"/>
      <c r="C141" s="404"/>
      <c r="D141" s="404"/>
      <c r="E141" s="404"/>
      <c r="F141" s="405" t="str">
        <f ca="1">Translations!$G$116</f>
        <v>Dernière version mise à jour mars 2020</v>
      </c>
    </row>
    <row r="142" spans="1:6" x14ac:dyDescent="0.35">
      <c r="A142" s="407" t="s">
        <v>516</v>
      </c>
      <c r="B142" s="407"/>
      <c r="C142" s="407"/>
      <c r="D142" s="407"/>
      <c r="E142" s="407"/>
      <c r="F142" s="406"/>
    </row>
    <row r="143" spans="1:6" ht="15" thickBot="1" x14ac:dyDescent="0.4">
      <c r="A143" s="407" t="s">
        <v>517</v>
      </c>
      <c r="B143" s="407"/>
      <c r="C143" s="407"/>
      <c r="D143" s="407"/>
      <c r="E143" s="407"/>
      <c r="F143" s="406"/>
    </row>
    <row r="144" spans="1:6" ht="16" thickBot="1" x14ac:dyDescent="0.4">
      <c r="A144" s="388" t="s">
        <v>715</v>
      </c>
      <c r="B144" s="389"/>
      <c r="C144" s="389"/>
      <c r="D144" s="389"/>
      <c r="E144" s="389"/>
      <c r="F144" s="390"/>
    </row>
    <row r="145" spans="1:6" ht="33" customHeight="1" thickBot="1" x14ac:dyDescent="0.4">
      <c r="A145" s="36" t="s">
        <v>0</v>
      </c>
      <c r="B145" s="37"/>
      <c r="C145" s="37"/>
      <c r="D145" s="37"/>
      <c r="E145" s="37"/>
      <c r="F145" s="38"/>
    </row>
    <row r="146" spans="1:6" ht="28" customHeight="1" x14ac:dyDescent="0.35">
      <c r="A146" s="32" t="s">
        <v>30</v>
      </c>
      <c r="B146" s="393" t="s">
        <v>1165</v>
      </c>
      <c r="C146" s="394"/>
      <c r="D146" s="394"/>
      <c r="E146" s="394"/>
      <c r="F146" s="395"/>
    </row>
    <row r="147" spans="1:6" ht="28" customHeight="1" x14ac:dyDescent="0.35">
      <c r="A147" s="32" t="s">
        <v>1</v>
      </c>
      <c r="B147" s="326" t="s">
        <v>1199</v>
      </c>
      <c r="C147" s="327"/>
      <c r="D147" s="327"/>
      <c r="E147" s="327"/>
      <c r="F147" s="328"/>
    </row>
    <row r="148" spans="1:6" ht="28" customHeight="1" x14ac:dyDescent="0.35">
      <c r="A148" s="79" t="s">
        <v>93</v>
      </c>
      <c r="B148" s="337" t="s">
        <v>1200</v>
      </c>
      <c r="C148" s="338"/>
      <c r="D148" s="338"/>
      <c r="E148" s="338"/>
      <c r="F148" s="339"/>
    </row>
    <row r="149" spans="1:6" ht="28" customHeight="1" x14ac:dyDescent="0.35">
      <c r="A149" s="39" t="s">
        <v>13</v>
      </c>
      <c r="B149" s="40"/>
      <c r="C149" s="40"/>
      <c r="D149" s="40"/>
      <c r="E149" s="40"/>
      <c r="F149" s="41"/>
    </row>
    <row r="150" spans="1:6" ht="28" customHeight="1" x14ac:dyDescent="0.35">
      <c r="A150" s="45" t="s">
        <v>14</v>
      </c>
      <c r="B150" s="293">
        <v>0.97</v>
      </c>
      <c r="C150" s="21" t="s">
        <v>10</v>
      </c>
      <c r="D150" s="56">
        <v>2019</v>
      </c>
      <c r="E150" s="46" t="s">
        <v>11</v>
      </c>
      <c r="F150" s="291" t="s">
        <v>1166</v>
      </c>
    </row>
    <row r="151" spans="1:6" ht="28" customHeight="1" thickBot="1" x14ac:dyDescent="0.4">
      <c r="A151" s="31" t="s">
        <v>12</v>
      </c>
      <c r="B151" s="323"/>
      <c r="C151" s="324"/>
      <c r="D151" s="324"/>
      <c r="E151" s="324"/>
      <c r="F151" s="325"/>
    </row>
    <row r="152" spans="1:6" ht="28" customHeight="1" thickBot="1" x14ac:dyDescent="0.4">
      <c r="A152" s="43"/>
      <c r="B152" s="42"/>
      <c r="C152" s="42"/>
      <c r="D152" s="42"/>
      <c r="E152" s="42"/>
      <c r="F152" s="44"/>
    </row>
    <row r="153" spans="1:6" ht="28" customHeight="1" x14ac:dyDescent="0.35">
      <c r="A153" s="396"/>
      <c r="B153" s="397"/>
      <c r="C153" s="22" t="s">
        <v>2</v>
      </c>
      <c r="D153" s="22" t="s">
        <v>3</v>
      </c>
      <c r="E153" s="22" t="s">
        <v>4</v>
      </c>
      <c r="F153" s="400" t="s">
        <v>31</v>
      </c>
    </row>
    <row r="154" spans="1:6" ht="28" customHeight="1" x14ac:dyDescent="0.35">
      <c r="A154" s="398"/>
      <c r="B154" s="399"/>
      <c r="C154" s="56">
        <v>2021</v>
      </c>
      <c r="D154" s="56">
        <v>2022</v>
      </c>
      <c r="E154" s="56">
        <v>2023</v>
      </c>
      <c r="F154" s="401"/>
    </row>
    <row r="155" spans="1:6" ht="28" customHeight="1" x14ac:dyDescent="0.35">
      <c r="A155" s="28" t="s">
        <v>6</v>
      </c>
      <c r="B155" s="29"/>
      <c r="C155" s="29"/>
      <c r="D155" s="29"/>
      <c r="E155" s="29"/>
      <c r="F155" s="30"/>
    </row>
    <row r="156" spans="1:6" ht="36.5" customHeight="1" x14ac:dyDescent="0.35">
      <c r="A156" s="5" t="s">
        <v>32</v>
      </c>
      <c r="B156" s="6" t="s">
        <v>7</v>
      </c>
      <c r="C156" s="60">
        <v>1077908</v>
      </c>
      <c r="D156" s="60">
        <v>1084915</v>
      </c>
      <c r="E156" s="60">
        <v>1091922</v>
      </c>
      <c r="F156" s="59" t="s">
        <v>1201</v>
      </c>
    </row>
    <row r="157" spans="1:6" ht="28" customHeight="1" x14ac:dyDescent="0.35">
      <c r="A157" s="391" t="s">
        <v>33</v>
      </c>
      <c r="B157" s="7" t="s">
        <v>7</v>
      </c>
      <c r="C157" s="60">
        <f>C156*96%</f>
        <v>1034791.6799999999</v>
      </c>
      <c r="D157" s="60">
        <f>D156*97%</f>
        <v>1052367.55</v>
      </c>
      <c r="E157" s="60">
        <f>E156*98%</f>
        <v>1070083.56</v>
      </c>
      <c r="F157" s="343" t="s">
        <v>1202</v>
      </c>
    </row>
    <row r="158" spans="1:6" ht="28" customHeight="1" x14ac:dyDescent="0.35">
      <c r="A158" s="392"/>
      <c r="B158" s="7" t="s">
        <v>15</v>
      </c>
      <c r="C158" s="286">
        <f>IF(C157=0,"",+C157/C156)</f>
        <v>0.96</v>
      </c>
      <c r="D158" s="286">
        <f t="shared" ref="D158:E158" si="7">IF(D157=0,"",+D157/D156)</f>
        <v>0.97000000000000008</v>
      </c>
      <c r="E158" s="286">
        <f t="shared" si="7"/>
        <v>0.98000000000000009</v>
      </c>
      <c r="F158" s="344"/>
    </row>
    <row r="159" spans="1:6" ht="28" customHeight="1" x14ac:dyDescent="0.35">
      <c r="A159" s="33" t="s">
        <v>8</v>
      </c>
      <c r="B159" s="34"/>
      <c r="C159" s="34"/>
      <c r="D159" s="34"/>
      <c r="E159" s="34"/>
      <c r="F159" s="35"/>
    </row>
    <row r="160" spans="1:6" ht="28" customHeight="1" x14ac:dyDescent="0.35">
      <c r="A160" s="391" t="s">
        <v>73</v>
      </c>
      <c r="B160" s="6" t="s">
        <v>7</v>
      </c>
      <c r="C160" s="60">
        <f>C157*5%</f>
        <v>51739.584000000003</v>
      </c>
      <c r="D160" s="60">
        <f>D157*10%</f>
        <v>105236.755</v>
      </c>
      <c r="E160" s="60">
        <f>E157*15%</f>
        <v>160512.53400000001</v>
      </c>
      <c r="F160" s="340" t="s">
        <v>1203</v>
      </c>
    </row>
    <row r="161" spans="1:6" ht="28" customHeight="1" x14ac:dyDescent="0.35">
      <c r="A161" s="392"/>
      <c r="B161" s="6" t="s">
        <v>15</v>
      </c>
      <c r="C161" s="286">
        <f>IF(C160=0,"",+C160/C156)</f>
        <v>4.8000000000000001E-2</v>
      </c>
      <c r="D161" s="286">
        <f>IF(D160=0,"",+D160/D156)</f>
        <v>9.7000000000000003E-2</v>
      </c>
      <c r="E161" s="286">
        <f>IF(E160=0,"",+E160/E156)</f>
        <v>0.14700000000000002</v>
      </c>
      <c r="F161" s="341"/>
    </row>
    <row r="162" spans="1:6" ht="39.5" customHeight="1" x14ac:dyDescent="0.35">
      <c r="A162" s="391" t="s">
        <v>74</v>
      </c>
      <c r="B162" s="6" t="s">
        <v>7</v>
      </c>
      <c r="C162" s="60">
        <v>549113</v>
      </c>
      <c r="D162" s="60">
        <v>549113</v>
      </c>
      <c r="E162" s="60">
        <v>549113</v>
      </c>
      <c r="F162" s="61" t="s">
        <v>1204</v>
      </c>
    </row>
    <row r="163" spans="1:6" ht="28" customHeight="1" x14ac:dyDescent="0.35">
      <c r="A163" s="392"/>
      <c r="B163" s="6" t="s">
        <v>15</v>
      </c>
      <c r="C163" s="286">
        <f>IF(C162=0,"",+C162/C156)</f>
        <v>0.50942473754717477</v>
      </c>
      <c r="D163" s="286">
        <f>IF(D162=0,"",+D162/D156)</f>
        <v>0.50613458197185957</v>
      </c>
      <c r="E163" s="286">
        <f>IF(E162=0,"",+E162/E156)</f>
        <v>0.50288665307595226</v>
      </c>
      <c r="F163" s="61"/>
    </row>
    <row r="164" spans="1:6" ht="28" customHeight="1" x14ac:dyDescent="0.35">
      <c r="A164" s="391" t="s">
        <v>692</v>
      </c>
      <c r="B164" s="6" t="s">
        <v>7</v>
      </c>
      <c r="C164" s="287">
        <f>+C160+C162</f>
        <v>600852.58400000003</v>
      </c>
      <c r="D164" s="287">
        <f>+D160+D162</f>
        <v>654349.755</v>
      </c>
      <c r="E164" s="287">
        <f>+E160+E162</f>
        <v>709625.53399999999</v>
      </c>
      <c r="F164" s="61"/>
    </row>
    <row r="165" spans="1:6" ht="28" customHeight="1" x14ac:dyDescent="0.35">
      <c r="A165" s="392"/>
      <c r="B165" s="6" t="s">
        <v>15</v>
      </c>
      <c r="C165" s="286">
        <f>IF(C164=0,"",+C164/C156)</f>
        <v>0.5574247375471747</v>
      </c>
      <c r="D165" s="286">
        <f>IF(D164=0,"",+D164/D156)</f>
        <v>0.60313458197185954</v>
      </c>
      <c r="E165" s="286">
        <f>IF(E164=0,"",+E164/E156)</f>
        <v>0.64988665307595228</v>
      </c>
      <c r="F165" s="61"/>
    </row>
    <row r="166" spans="1:6" ht="28" customHeight="1" x14ac:dyDescent="0.35">
      <c r="A166" s="33" t="s">
        <v>9</v>
      </c>
      <c r="B166" s="34"/>
      <c r="C166" s="34"/>
      <c r="D166" s="34"/>
      <c r="E166" s="34"/>
      <c r="F166" s="35"/>
    </row>
    <row r="167" spans="1:6" ht="28" customHeight="1" x14ac:dyDescent="0.35">
      <c r="A167" s="402" t="s">
        <v>695</v>
      </c>
      <c r="B167" s="6" t="s">
        <v>7</v>
      </c>
      <c r="C167" s="288">
        <f>+C156-(C164)</f>
        <v>477055.41599999997</v>
      </c>
      <c r="D167" s="288">
        <f>+D156-(D164)</f>
        <v>430565.245</v>
      </c>
      <c r="E167" s="288">
        <f>+E156-(E164)</f>
        <v>382296.46600000001</v>
      </c>
      <c r="F167" s="343"/>
    </row>
    <row r="168" spans="1:6" ht="28" customHeight="1" x14ac:dyDescent="0.35">
      <c r="A168" s="403"/>
      <c r="B168" s="6" t="s">
        <v>15</v>
      </c>
      <c r="C168" s="286">
        <f>IF(C167=0,"",+C167/C156)</f>
        <v>0.44257526245282525</v>
      </c>
      <c r="D168" s="286">
        <f>IF(D167=0,"",+D167/D156)</f>
        <v>0.39686541802814046</v>
      </c>
      <c r="E168" s="286">
        <f>IF(E167=0,"",+E167/E156)</f>
        <v>0.35011334692404772</v>
      </c>
      <c r="F168" s="344"/>
    </row>
    <row r="169" spans="1:6" ht="28" customHeight="1" x14ac:dyDescent="0.35">
      <c r="A169" s="47" t="s">
        <v>75</v>
      </c>
      <c r="B169" s="34"/>
      <c r="C169" s="34"/>
      <c r="D169" s="34"/>
      <c r="E169" s="34"/>
      <c r="F169" s="35"/>
    </row>
    <row r="170" spans="1:6" ht="35.5" customHeight="1" x14ac:dyDescent="0.35">
      <c r="A170" s="402" t="s">
        <v>76</v>
      </c>
      <c r="B170" s="7" t="s">
        <v>7</v>
      </c>
      <c r="C170" s="60">
        <f>C157-C162-C160</f>
        <v>433939.0959999999</v>
      </c>
      <c r="D170" s="60">
        <f t="shared" ref="D170:E170" si="8">D157-D162-D160</f>
        <v>398017.79500000004</v>
      </c>
      <c r="E170" s="60">
        <f t="shared" si="8"/>
        <v>360458.02600000007</v>
      </c>
      <c r="F170" s="343" t="s">
        <v>1205</v>
      </c>
    </row>
    <row r="171" spans="1:6" ht="28" customHeight="1" x14ac:dyDescent="0.35">
      <c r="A171" s="403"/>
      <c r="B171" s="7" t="s">
        <v>15</v>
      </c>
      <c r="C171" s="286">
        <f>IF(C170=0,"",+C170/C156)</f>
        <v>0.40257526245282521</v>
      </c>
      <c r="D171" s="286">
        <f>IF(D170=0,"",+D170/D156)</f>
        <v>0.36686541802814049</v>
      </c>
      <c r="E171" s="286">
        <f>IF(E170=0,"",+E170/E156)</f>
        <v>0.33011334692404776</v>
      </c>
      <c r="F171" s="344"/>
    </row>
    <row r="172" spans="1:6" ht="28" customHeight="1" x14ac:dyDescent="0.35">
      <c r="A172" s="402" t="s">
        <v>716</v>
      </c>
      <c r="B172" s="7" t="s">
        <v>7</v>
      </c>
      <c r="C172" s="288">
        <f>+C170+C164</f>
        <v>1034791.6799999999</v>
      </c>
      <c r="D172" s="288">
        <f>+D170+D164</f>
        <v>1052367.55</v>
      </c>
      <c r="E172" s="288">
        <f>+E170+E164</f>
        <v>1070083.56</v>
      </c>
      <c r="F172" s="343"/>
    </row>
    <row r="173" spans="1:6" ht="28" customHeight="1" x14ac:dyDescent="0.35">
      <c r="A173" s="403"/>
      <c r="B173" s="7" t="s">
        <v>15</v>
      </c>
      <c r="C173" s="286">
        <f>IF(C172=0,"",+C172/C156)</f>
        <v>0.96</v>
      </c>
      <c r="D173" s="286">
        <f>IF(D172=0,"",+D172/D156)</f>
        <v>0.97000000000000008</v>
      </c>
      <c r="E173" s="286">
        <f>IF(E172=0,"",+E172/E156)</f>
        <v>0.98000000000000009</v>
      </c>
      <c r="F173" s="344"/>
    </row>
    <row r="174" spans="1:6" ht="28" customHeight="1" x14ac:dyDescent="0.35">
      <c r="A174" s="402" t="s">
        <v>77</v>
      </c>
      <c r="B174" s="7" t="s">
        <v>7</v>
      </c>
      <c r="C174" s="288">
        <f>+C156-(C172)</f>
        <v>43116.320000000065</v>
      </c>
      <c r="D174" s="288">
        <f>+D156-(D172)</f>
        <v>32547.449999999953</v>
      </c>
      <c r="E174" s="288">
        <f>+E156-(E172)</f>
        <v>21838.439999999944</v>
      </c>
      <c r="F174" s="343"/>
    </row>
    <row r="175" spans="1:6" ht="28" customHeight="1" thickBot="1" x14ac:dyDescent="0.4">
      <c r="A175" s="408"/>
      <c r="B175" s="7" t="s">
        <v>15</v>
      </c>
      <c r="C175" s="286">
        <f>IF(C174=0,"",+C174/C156)</f>
        <v>4.0000000000000063E-2</v>
      </c>
      <c r="D175" s="286">
        <f>IF(D174=0,"",+D174/D156)</f>
        <v>2.9999999999999957E-2</v>
      </c>
      <c r="E175" s="286">
        <f>IF(E174=0,"",+E174/E156)</f>
        <v>1.9999999999999948E-2</v>
      </c>
      <c r="F175" s="344"/>
    </row>
    <row r="176" spans="1:6" x14ac:dyDescent="0.35">
      <c r="A176" s="404" t="s">
        <v>24</v>
      </c>
      <c r="B176" s="404"/>
      <c r="C176" s="404"/>
      <c r="D176" s="404"/>
      <c r="E176" s="404"/>
      <c r="F176" s="405" t="str">
        <f ca="1">Translations!$G$116</f>
        <v>Dernière version mise à jour mars 2020</v>
      </c>
    </row>
    <row r="177" spans="1:6" x14ac:dyDescent="0.35">
      <c r="A177" s="407" t="s">
        <v>516</v>
      </c>
      <c r="B177" s="407"/>
      <c r="C177" s="407"/>
      <c r="D177" s="407"/>
      <c r="E177" s="407"/>
      <c r="F177" s="406"/>
    </row>
    <row r="178" spans="1:6" ht="15" thickBot="1" x14ac:dyDescent="0.4">
      <c r="A178" s="407" t="s">
        <v>517</v>
      </c>
      <c r="B178" s="407"/>
      <c r="C178" s="407"/>
      <c r="D178" s="407"/>
      <c r="E178" s="407"/>
      <c r="F178" s="406"/>
    </row>
    <row r="179" spans="1:6" ht="16" thickBot="1" x14ac:dyDescent="0.4">
      <c r="A179" s="388" t="s">
        <v>715</v>
      </c>
      <c r="B179" s="389"/>
      <c r="C179" s="389"/>
      <c r="D179" s="389"/>
      <c r="E179" s="389"/>
      <c r="F179" s="390"/>
    </row>
    <row r="180" spans="1:6" ht="32" customHeight="1" thickBot="1" x14ac:dyDescent="0.4">
      <c r="A180" s="36" t="s">
        <v>0</v>
      </c>
      <c r="B180" s="37"/>
      <c r="C180" s="37"/>
      <c r="D180" s="37"/>
      <c r="E180" s="37"/>
      <c r="F180" s="38"/>
    </row>
    <row r="181" spans="1:6" ht="29.5" customHeight="1" x14ac:dyDescent="0.35">
      <c r="A181" s="32" t="s">
        <v>30</v>
      </c>
      <c r="B181" s="393" t="s">
        <v>777</v>
      </c>
      <c r="C181" s="394"/>
      <c r="D181" s="394"/>
      <c r="E181" s="394"/>
      <c r="F181" s="395"/>
    </row>
    <row r="182" spans="1:6" ht="29.5" customHeight="1" x14ac:dyDescent="0.35">
      <c r="A182" s="32" t="s">
        <v>1</v>
      </c>
      <c r="B182" s="326" t="s">
        <v>1223</v>
      </c>
      <c r="C182" s="327"/>
      <c r="D182" s="327"/>
      <c r="E182" s="327"/>
      <c r="F182" s="328"/>
    </row>
    <row r="183" spans="1:6" ht="29.5" customHeight="1" x14ac:dyDescent="0.35">
      <c r="A183" s="79" t="s">
        <v>93</v>
      </c>
      <c r="B183" s="337" t="s">
        <v>1215</v>
      </c>
      <c r="C183" s="338"/>
      <c r="D183" s="338"/>
      <c r="E183" s="338"/>
      <c r="F183" s="339"/>
    </row>
    <row r="184" spans="1:6" ht="29.5" customHeight="1" x14ac:dyDescent="0.35">
      <c r="A184" s="39" t="s">
        <v>13</v>
      </c>
      <c r="B184" s="40"/>
      <c r="C184" s="40"/>
      <c r="D184" s="40"/>
      <c r="E184" s="40"/>
      <c r="F184" s="41"/>
    </row>
    <row r="185" spans="1:6" ht="29.5" customHeight="1" x14ac:dyDescent="0.35">
      <c r="A185" s="45" t="s">
        <v>14</v>
      </c>
      <c r="B185" s="289">
        <v>0.6</v>
      </c>
      <c r="C185" s="21" t="s">
        <v>10</v>
      </c>
      <c r="D185" s="56">
        <v>2019</v>
      </c>
      <c r="E185" s="46" t="s">
        <v>11</v>
      </c>
      <c r="F185" s="59" t="s">
        <v>1221</v>
      </c>
    </row>
    <row r="186" spans="1:6" ht="29.5" customHeight="1" thickBot="1" x14ac:dyDescent="0.4">
      <c r="A186" s="31" t="s">
        <v>12</v>
      </c>
      <c r="B186" s="323"/>
      <c r="C186" s="324"/>
      <c r="D186" s="324"/>
      <c r="E186" s="324"/>
      <c r="F186" s="325"/>
    </row>
    <row r="187" spans="1:6" ht="29.5" customHeight="1" thickBot="1" x14ac:dyDescent="0.4">
      <c r="A187" s="43"/>
      <c r="B187" s="42"/>
      <c r="C187" s="42"/>
      <c r="D187" s="42"/>
      <c r="E187" s="42"/>
      <c r="F187" s="44"/>
    </row>
    <row r="188" spans="1:6" ht="29.5" customHeight="1" x14ac:dyDescent="0.35">
      <c r="A188" s="396"/>
      <c r="B188" s="397"/>
      <c r="C188" s="22" t="s">
        <v>2</v>
      </c>
      <c r="D188" s="22" t="s">
        <v>3</v>
      </c>
      <c r="E188" s="22" t="s">
        <v>4</v>
      </c>
      <c r="F188" s="400" t="s">
        <v>31</v>
      </c>
    </row>
    <row r="189" spans="1:6" ht="29.5" customHeight="1" x14ac:dyDescent="0.35">
      <c r="A189" s="398"/>
      <c r="B189" s="399"/>
      <c r="C189" s="56">
        <v>2021</v>
      </c>
      <c r="D189" s="56">
        <v>2022</v>
      </c>
      <c r="E189" s="56">
        <v>2023</v>
      </c>
      <c r="F189" s="401"/>
    </row>
    <row r="190" spans="1:6" ht="29.5" customHeight="1" x14ac:dyDescent="0.35">
      <c r="A190" s="28" t="s">
        <v>6</v>
      </c>
      <c r="B190" s="29"/>
      <c r="C190" s="29"/>
      <c r="D190" s="29"/>
      <c r="E190" s="29"/>
      <c r="F190" s="30"/>
    </row>
    <row r="191" spans="1:6" ht="29.5" customHeight="1" x14ac:dyDescent="0.35">
      <c r="A191" s="5" t="s">
        <v>32</v>
      </c>
      <c r="B191" s="6" t="s">
        <v>7</v>
      </c>
      <c r="C191" s="60">
        <v>2516621.4499999997</v>
      </c>
      <c r="D191" s="60">
        <v>2370411.9111111104</v>
      </c>
      <c r="E191" s="60">
        <v>2270015.5285714339</v>
      </c>
      <c r="F191" s="59" t="s">
        <v>1201</v>
      </c>
    </row>
    <row r="192" spans="1:6" ht="29.5" customHeight="1" x14ac:dyDescent="0.35">
      <c r="A192" s="391" t="s">
        <v>33</v>
      </c>
      <c r="B192" s="7" t="s">
        <v>7</v>
      </c>
      <c r="C192" s="60">
        <v>1385930.13</v>
      </c>
      <c r="D192" s="60">
        <v>1211004.6811111104</v>
      </c>
      <c r="E192" s="60">
        <v>1081264.5585714341</v>
      </c>
      <c r="F192" s="343" t="s">
        <v>1202</v>
      </c>
    </row>
    <row r="193" spans="1:6" ht="29.5" customHeight="1" x14ac:dyDescent="0.35">
      <c r="A193" s="392"/>
      <c r="B193" s="7" t="s">
        <v>15</v>
      </c>
      <c r="C193" s="286">
        <f>IF(C192=0,"",+C192/C191)</f>
        <v>0.55071060846278652</v>
      </c>
      <c r="D193" s="286">
        <f t="shared" ref="D193:E193" si="9">IF(D192=0,"",+D192/D191)</f>
        <v>0.51088364660784302</v>
      </c>
      <c r="E193" s="286">
        <f t="shared" si="9"/>
        <v>0.47632474093773952</v>
      </c>
      <c r="F193" s="344"/>
    </row>
    <row r="194" spans="1:6" ht="29.5" customHeight="1" x14ac:dyDescent="0.35">
      <c r="A194" s="33" t="s">
        <v>8</v>
      </c>
      <c r="B194" s="34"/>
      <c r="C194" s="34"/>
      <c r="D194" s="34"/>
      <c r="E194" s="34"/>
      <c r="F194" s="35"/>
    </row>
    <row r="195" spans="1:6" ht="29.5" customHeight="1" x14ac:dyDescent="0.35">
      <c r="A195" s="391" t="s">
        <v>73</v>
      </c>
      <c r="B195" s="6" t="s">
        <v>7</v>
      </c>
      <c r="C195" s="60">
        <f>C192*5%</f>
        <v>69296.506500000003</v>
      </c>
      <c r="D195" s="60">
        <f>D192*7.5%</f>
        <v>90825.351083333269</v>
      </c>
      <c r="E195" s="60">
        <f>E192*10%</f>
        <v>108126.45585714342</v>
      </c>
      <c r="F195" s="340" t="s">
        <v>1203</v>
      </c>
    </row>
    <row r="196" spans="1:6" ht="29.5" customHeight="1" x14ac:dyDescent="0.35">
      <c r="A196" s="392"/>
      <c r="B196" s="6" t="s">
        <v>15</v>
      </c>
      <c r="C196" s="286">
        <f>IF(C195=0,"",+C195/C191)</f>
        <v>2.7535530423139328E-2</v>
      </c>
      <c r="D196" s="286">
        <f>IF(D195=0,"",+D195/D191)</f>
        <v>3.8316273495588228E-2</v>
      </c>
      <c r="E196" s="286">
        <f>IF(E195=0,"",+E195/E191)</f>
        <v>4.7632474093773955E-2</v>
      </c>
      <c r="F196" s="341"/>
    </row>
    <row r="197" spans="1:6" ht="42" x14ac:dyDescent="0.35">
      <c r="A197" s="391" t="s">
        <v>74</v>
      </c>
      <c r="B197" s="6" t="s">
        <v>7</v>
      </c>
      <c r="C197" s="60">
        <f>980993-24302-8863</f>
        <v>947828</v>
      </c>
      <c r="D197" s="60">
        <f>C197*70%</f>
        <v>663479.6</v>
      </c>
      <c r="E197" s="60">
        <f>D197*70%</f>
        <v>464435.72</v>
      </c>
      <c r="F197" s="61" t="s">
        <v>1207</v>
      </c>
    </row>
    <row r="198" spans="1:6" ht="35.5" customHeight="1" x14ac:dyDescent="0.35">
      <c r="A198" s="392"/>
      <c r="B198" s="6" t="s">
        <v>15</v>
      </c>
      <c r="C198" s="286">
        <f>IF(C197=0,"",+C197/C191)</f>
        <v>0.37662716416885028</v>
      </c>
      <c r="D198" s="286">
        <f>IF(D197=0,"",+D197/D191)</f>
        <v>0.27990055099284394</v>
      </c>
      <c r="E198" s="286">
        <f>IF(E197=0,"",+E197/E191)</f>
        <v>0.20459583388501251</v>
      </c>
      <c r="F198" s="61"/>
    </row>
    <row r="199" spans="1:6" ht="29.5" customHeight="1" x14ac:dyDescent="0.35">
      <c r="A199" s="391" t="s">
        <v>692</v>
      </c>
      <c r="B199" s="6" t="s">
        <v>7</v>
      </c>
      <c r="C199" s="287">
        <f>+C195+C197</f>
        <v>1017124.5065</v>
      </c>
      <c r="D199" s="287">
        <f>+D195+D197</f>
        <v>754304.95108333323</v>
      </c>
      <c r="E199" s="287">
        <f>+E195+E197</f>
        <v>572562.17585714336</v>
      </c>
      <c r="F199" s="61"/>
    </row>
    <row r="200" spans="1:6" ht="29.5" customHeight="1" x14ac:dyDescent="0.35">
      <c r="A200" s="392"/>
      <c r="B200" s="6" t="s">
        <v>15</v>
      </c>
      <c r="C200" s="286">
        <f>IF(C199=0,"",+C199/C191)</f>
        <v>0.40416269459198967</v>
      </c>
      <c r="D200" s="286">
        <f>IF(D199=0,"",+D199/D191)</f>
        <v>0.31821682448843214</v>
      </c>
      <c r="E200" s="286">
        <f>IF(E199=0,"",+E199/E191)</f>
        <v>0.25222830797878648</v>
      </c>
      <c r="F200" s="61"/>
    </row>
    <row r="201" spans="1:6" ht="29.5" customHeight="1" x14ac:dyDescent="0.35">
      <c r="A201" s="33" t="s">
        <v>9</v>
      </c>
      <c r="B201" s="34"/>
      <c r="C201" s="34"/>
      <c r="D201" s="34"/>
      <c r="E201" s="34"/>
      <c r="F201" s="35"/>
    </row>
    <row r="202" spans="1:6" ht="29.5" customHeight="1" x14ac:dyDescent="0.35">
      <c r="A202" s="402" t="s">
        <v>695</v>
      </c>
      <c r="B202" s="6" t="s">
        <v>7</v>
      </c>
      <c r="C202" s="288">
        <f>+C191-(C199)</f>
        <v>1499496.9434999996</v>
      </c>
      <c r="D202" s="288">
        <f>+D191-(D199)</f>
        <v>1616106.9600277771</v>
      </c>
      <c r="E202" s="288">
        <f>+E191-(E199)</f>
        <v>1697453.3527142904</v>
      </c>
      <c r="F202" s="343"/>
    </row>
    <row r="203" spans="1:6" ht="29.5" customHeight="1" x14ac:dyDescent="0.35">
      <c r="A203" s="403"/>
      <c r="B203" s="6" t="s">
        <v>15</v>
      </c>
      <c r="C203" s="286">
        <f>IF(C202=0,"",+C202/C191)</f>
        <v>0.59583730540801028</v>
      </c>
      <c r="D203" s="286">
        <f>IF(D202=0,"",+D202/D191)</f>
        <v>0.68178317551156786</v>
      </c>
      <c r="E203" s="286">
        <f>IF(E202=0,"",+E202/E191)</f>
        <v>0.74777169202121352</v>
      </c>
      <c r="F203" s="344"/>
    </row>
    <row r="204" spans="1:6" ht="29.5" customHeight="1" x14ac:dyDescent="0.35">
      <c r="A204" s="47" t="s">
        <v>75</v>
      </c>
      <c r="B204" s="34"/>
      <c r="C204" s="34"/>
      <c r="D204" s="34"/>
      <c r="E204" s="34"/>
      <c r="F204" s="35"/>
    </row>
    <row r="205" spans="1:6" ht="29.5" customHeight="1" x14ac:dyDescent="0.35">
      <c r="A205" s="402" t="s">
        <v>76</v>
      </c>
      <c r="B205" s="7" t="s">
        <v>7</v>
      </c>
      <c r="C205" s="60">
        <f>C192-C195-C197</f>
        <v>368805.62349999999</v>
      </c>
      <c r="D205" s="60">
        <f t="shared" ref="D205:E205" si="10">D192-D195-D197</f>
        <v>456699.73002777703</v>
      </c>
      <c r="E205" s="60">
        <f t="shared" si="10"/>
        <v>508702.38271429075</v>
      </c>
      <c r="F205" s="343" t="s">
        <v>1222</v>
      </c>
    </row>
    <row r="206" spans="1:6" ht="29.5" customHeight="1" x14ac:dyDescent="0.35">
      <c r="A206" s="403"/>
      <c r="B206" s="7" t="s">
        <v>15</v>
      </c>
      <c r="C206" s="286">
        <f>IF(C205=0,"",+C205/C191)</f>
        <v>0.14654791387079691</v>
      </c>
      <c r="D206" s="286">
        <f>IF(D205=0,"",+D205/D191)</f>
        <v>0.19266682211941086</v>
      </c>
      <c r="E206" s="286">
        <f>IF(E205=0,"",+E205/E191)</f>
        <v>0.22409643295895307</v>
      </c>
      <c r="F206" s="344"/>
    </row>
    <row r="207" spans="1:6" ht="29.5" customHeight="1" x14ac:dyDescent="0.35">
      <c r="A207" s="402" t="s">
        <v>716</v>
      </c>
      <c r="B207" s="7" t="s">
        <v>7</v>
      </c>
      <c r="C207" s="288">
        <f>+C205+C199</f>
        <v>1385930.13</v>
      </c>
      <c r="D207" s="288">
        <f>+D205+D199</f>
        <v>1211004.6811111104</v>
      </c>
      <c r="E207" s="288">
        <f>+E205+E199</f>
        <v>1081264.5585714341</v>
      </c>
      <c r="F207" s="343"/>
    </row>
    <row r="208" spans="1:6" ht="29.5" customHeight="1" x14ac:dyDescent="0.35">
      <c r="A208" s="403"/>
      <c r="B208" s="7" t="s">
        <v>15</v>
      </c>
      <c r="C208" s="286">
        <f>IF(C207=0,"",+C207/C191)</f>
        <v>0.55071060846278652</v>
      </c>
      <c r="D208" s="286">
        <f>IF(D207=0,"",+D207/D191)</f>
        <v>0.51088364660784302</v>
      </c>
      <c r="E208" s="286">
        <f>IF(E207=0,"",+E207/E191)</f>
        <v>0.47632474093773952</v>
      </c>
      <c r="F208" s="344"/>
    </row>
    <row r="209" spans="1:6" ht="29.5" customHeight="1" x14ac:dyDescent="0.35">
      <c r="A209" s="402" t="s">
        <v>77</v>
      </c>
      <c r="B209" s="7" t="s">
        <v>7</v>
      </c>
      <c r="C209" s="288">
        <f>+C191-(C207)</f>
        <v>1130691.3199999998</v>
      </c>
      <c r="D209" s="288">
        <f>+D191-(D207)</f>
        <v>1159407.23</v>
      </c>
      <c r="E209" s="288">
        <f>+E191-(E207)</f>
        <v>1188750.9699999997</v>
      </c>
      <c r="F209" s="343"/>
    </row>
    <row r="210" spans="1:6" ht="29.5" customHeight="1" thickBot="1" x14ac:dyDescent="0.4">
      <c r="A210" s="408"/>
      <c r="B210" s="7" t="s">
        <v>15</v>
      </c>
      <c r="C210" s="286">
        <f>IF(C209=0,"",+C209/C191)</f>
        <v>0.44928939153721348</v>
      </c>
      <c r="D210" s="286">
        <f>IF(D209=0,"",+D209/D191)</f>
        <v>0.48911635339215698</v>
      </c>
      <c r="E210" s="286">
        <f>IF(E209=0,"",+E209/E191)</f>
        <v>0.52367525906226042</v>
      </c>
      <c r="F210" s="344"/>
    </row>
    <row r="211" spans="1:6" x14ac:dyDescent="0.35">
      <c r="A211" s="404" t="s">
        <v>24</v>
      </c>
      <c r="B211" s="404"/>
      <c r="C211" s="404"/>
      <c r="D211" s="404"/>
      <c r="E211" s="404"/>
      <c r="F211" s="405" t="str">
        <f ca="1">Translations!$G$116</f>
        <v>Dernière version mise à jour mars 2020</v>
      </c>
    </row>
    <row r="212" spans="1:6" x14ac:dyDescent="0.35">
      <c r="A212" s="407" t="s">
        <v>516</v>
      </c>
      <c r="B212" s="407"/>
      <c r="C212" s="407"/>
      <c r="D212" s="407"/>
      <c r="E212" s="407"/>
      <c r="F212" s="406"/>
    </row>
    <row r="213" spans="1:6" ht="15" thickBot="1" x14ac:dyDescent="0.4">
      <c r="A213" s="407" t="s">
        <v>517</v>
      </c>
      <c r="B213" s="407"/>
      <c r="C213" s="407"/>
      <c r="D213" s="407"/>
      <c r="E213" s="407"/>
      <c r="F213" s="406"/>
    </row>
    <row r="214" spans="1:6" ht="16" thickBot="1" x14ac:dyDescent="0.4">
      <c r="A214" s="388" t="s">
        <v>715</v>
      </c>
      <c r="B214" s="389"/>
      <c r="C214" s="389"/>
      <c r="D214" s="389"/>
      <c r="E214" s="389"/>
      <c r="F214" s="390"/>
    </row>
    <row r="215" spans="1:6" ht="30" customHeight="1" thickBot="1" x14ac:dyDescent="0.4">
      <c r="A215" s="36" t="s">
        <v>0</v>
      </c>
      <c r="B215" s="37"/>
      <c r="C215" s="37"/>
      <c r="D215" s="37"/>
      <c r="E215" s="37"/>
      <c r="F215" s="38"/>
    </row>
    <row r="216" spans="1:6" ht="29" customHeight="1" x14ac:dyDescent="0.35">
      <c r="A216" s="32" t="s">
        <v>30</v>
      </c>
      <c r="B216" s="409" t="str">
        <f ca="1">Translations!$A$51</f>
        <v>Prévention - populations clés - PrEP</v>
      </c>
      <c r="C216" s="410"/>
      <c r="D216" s="410"/>
      <c r="E216" s="410"/>
      <c r="F216" s="411"/>
    </row>
    <row r="217" spans="1:6" ht="29" customHeight="1" x14ac:dyDescent="0.35">
      <c r="A217" s="32" t="s">
        <v>1</v>
      </c>
      <c r="B217" s="412" t="str">
        <f ca="1">Translations!$A$52</f>
        <v xml:space="preserve">Pourcentage de populations clés éligibles qui ont initié une PrEP antiretrovirale orale au cours des 12 derniers mois </v>
      </c>
      <c r="C217" s="413"/>
      <c r="D217" s="413"/>
      <c r="E217" s="413"/>
      <c r="F217" s="414"/>
    </row>
    <row r="218" spans="1:6" ht="29" customHeight="1" x14ac:dyDescent="0.35">
      <c r="A218" s="79" t="s">
        <v>93</v>
      </c>
      <c r="B218" s="337" t="s">
        <v>1153</v>
      </c>
      <c r="C218" s="338"/>
      <c r="D218" s="338"/>
      <c r="E218" s="338"/>
      <c r="F218" s="339"/>
    </row>
    <row r="219" spans="1:6" ht="29" customHeight="1" x14ac:dyDescent="0.35">
      <c r="A219" s="39" t="s">
        <v>13</v>
      </c>
      <c r="B219" s="40"/>
      <c r="C219" s="40"/>
      <c r="D219" s="40"/>
      <c r="E219" s="40"/>
      <c r="F219" s="41"/>
    </row>
    <row r="220" spans="1:6" ht="29" customHeight="1" x14ac:dyDescent="0.35">
      <c r="A220" s="45" t="s">
        <v>14</v>
      </c>
      <c r="B220" s="293">
        <v>0</v>
      </c>
      <c r="C220" s="21" t="s">
        <v>10</v>
      </c>
      <c r="D220" s="56">
        <v>2019</v>
      </c>
      <c r="E220" s="46" t="s">
        <v>11</v>
      </c>
      <c r="F220" s="55"/>
    </row>
    <row r="221" spans="1:6" ht="29" customHeight="1" thickBot="1" x14ac:dyDescent="0.4">
      <c r="A221" s="31" t="s">
        <v>12</v>
      </c>
      <c r="B221" s="323" t="s">
        <v>1208</v>
      </c>
      <c r="C221" s="324"/>
      <c r="D221" s="324"/>
      <c r="E221" s="324"/>
      <c r="F221" s="325"/>
    </row>
    <row r="222" spans="1:6" ht="29" customHeight="1" thickBot="1" x14ac:dyDescent="0.4">
      <c r="A222" s="43"/>
      <c r="B222" s="42"/>
      <c r="C222" s="42"/>
      <c r="D222" s="42"/>
      <c r="E222" s="42"/>
      <c r="F222" s="44"/>
    </row>
    <row r="223" spans="1:6" ht="29" customHeight="1" x14ac:dyDescent="0.35">
      <c r="A223" s="396"/>
      <c r="B223" s="397"/>
      <c r="C223" s="22" t="s">
        <v>2</v>
      </c>
      <c r="D223" s="22" t="s">
        <v>3</v>
      </c>
      <c r="E223" s="22" t="s">
        <v>4</v>
      </c>
      <c r="F223" s="400" t="s">
        <v>31</v>
      </c>
    </row>
    <row r="224" spans="1:6" ht="29" customHeight="1" x14ac:dyDescent="0.35">
      <c r="A224" s="398"/>
      <c r="B224" s="399"/>
      <c r="C224" s="56">
        <v>2021</v>
      </c>
      <c r="D224" s="56">
        <v>2022</v>
      </c>
      <c r="E224" s="56">
        <v>2023</v>
      </c>
      <c r="F224" s="401"/>
    </row>
    <row r="225" spans="1:6" ht="29" customHeight="1" x14ac:dyDescent="0.35">
      <c r="A225" s="28" t="s">
        <v>6</v>
      </c>
      <c r="B225" s="29"/>
      <c r="C225" s="29"/>
      <c r="D225" s="29"/>
      <c r="E225" s="29"/>
      <c r="F225" s="30"/>
    </row>
    <row r="226" spans="1:6" ht="29" customHeight="1" x14ac:dyDescent="0.35">
      <c r="A226" s="5" t="s">
        <v>32</v>
      </c>
      <c r="B226" s="6" t="s">
        <v>7</v>
      </c>
      <c r="C226" s="290">
        <v>36501</v>
      </c>
      <c r="D226" s="290">
        <v>37450</v>
      </c>
      <c r="E226" s="290">
        <v>38424</v>
      </c>
      <c r="F226" s="291" t="s">
        <v>1219</v>
      </c>
    </row>
    <row r="227" spans="1:6" ht="29" customHeight="1" x14ac:dyDescent="0.35">
      <c r="A227" s="391" t="s">
        <v>33</v>
      </c>
      <c r="B227" s="7" t="s">
        <v>7</v>
      </c>
      <c r="C227" s="290">
        <f>C226*7%</f>
        <v>2555.0700000000002</v>
      </c>
      <c r="D227" s="290">
        <f>D226*11%</f>
        <v>4119.5</v>
      </c>
      <c r="E227" s="290">
        <f>E226*16%</f>
        <v>6147.84</v>
      </c>
      <c r="F227" s="343" t="s">
        <v>1210</v>
      </c>
    </row>
    <row r="228" spans="1:6" ht="29" customHeight="1" x14ac:dyDescent="0.35">
      <c r="A228" s="392"/>
      <c r="B228" s="7" t="s">
        <v>15</v>
      </c>
      <c r="C228" s="286">
        <f>IF(C227=0,"",+C227/C226)</f>
        <v>7.0000000000000007E-2</v>
      </c>
      <c r="D228" s="286">
        <f t="shared" ref="D228:E228" si="11">IF(D227=0,"",+D227/D226)</f>
        <v>0.11</v>
      </c>
      <c r="E228" s="286">
        <f t="shared" si="11"/>
        <v>0.16</v>
      </c>
      <c r="F228" s="344"/>
    </row>
    <row r="229" spans="1:6" ht="29" customHeight="1" x14ac:dyDescent="0.35">
      <c r="A229" s="33" t="s">
        <v>8</v>
      </c>
      <c r="B229" s="34"/>
      <c r="C229" s="34"/>
      <c r="D229" s="34"/>
      <c r="E229" s="34"/>
      <c r="F229" s="35"/>
    </row>
    <row r="230" spans="1:6" ht="29" customHeight="1" x14ac:dyDescent="0.35">
      <c r="A230" s="391" t="s">
        <v>73</v>
      </c>
      <c r="B230" s="6" t="s">
        <v>7</v>
      </c>
      <c r="C230" s="60">
        <v>0</v>
      </c>
      <c r="D230" s="60">
        <v>0</v>
      </c>
      <c r="E230" s="60">
        <v>0</v>
      </c>
      <c r="F230" s="340" t="s">
        <v>1209</v>
      </c>
    </row>
    <row r="231" spans="1:6" ht="29" customHeight="1" x14ac:dyDescent="0.35">
      <c r="A231" s="392"/>
      <c r="B231" s="6" t="s">
        <v>15</v>
      </c>
      <c r="C231" s="286" t="str">
        <f>IF(C230=0,"",+C230/C226)</f>
        <v/>
      </c>
      <c r="D231" s="286" t="str">
        <f>IF(D230=0,"",+D230/D226)</f>
        <v/>
      </c>
      <c r="E231" s="286" t="str">
        <f>IF(E230=0,"",+E230/E226)</f>
        <v/>
      </c>
      <c r="F231" s="341"/>
    </row>
    <row r="232" spans="1:6" ht="29" customHeight="1" x14ac:dyDescent="0.35">
      <c r="A232" s="391" t="s">
        <v>74</v>
      </c>
      <c r="B232" s="6" t="s">
        <v>7</v>
      </c>
      <c r="C232" s="285">
        <f>355+500</f>
        <v>855</v>
      </c>
      <c r="D232" s="285">
        <v>355</v>
      </c>
      <c r="E232" s="285">
        <v>355</v>
      </c>
      <c r="F232" s="292" t="s">
        <v>1239</v>
      </c>
    </row>
    <row r="233" spans="1:6" ht="29" customHeight="1" x14ac:dyDescent="0.35">
      <c r="A233" s="392"/>
      <c r="B233" s="6" t="s">
        <v>15</v>
      </c>
      <c r="C233" s="286">
        <f>IF(C232=0,"",+C232/C226)</f>
        <v>2.3424015780389579E-2</v>
      </c>
      <c r="D233" s="286">
        <f>IF(D232=0,"",+D232/D226)</f>
        <v>9.4793057409879831E-3</v>
      </c>
      <c r="E233" s="286">
        <f>IF(E232=0,"",+E232/E226)</f>
        <v>9.2390172808661259E-3</v>
      </c>
      <c r="F233" s="61"/>
    </row>
    <row r="234" spans="1:6" ht="29" customHeight="1" x14ac:dyDescent="0.35">
      <c r="A234" s="391" t="s">
        <v>692</v>
      </c>
      <c r="B234" s="6" t="s">
        <v>7</v>
      </c>
      <c r="C234" s="287">
        <f>+C230+C232</f>
        <v>855</v>
      </c>
      <c r="D234" s="287">
        <f>+D230+D232</f>
        <v>355</v>
      </c>
      <c r="E234" s="287">
        <f>+E230+E232</f>
        <v>355</v>
      </c>
      <c r="F234" s="61"/>
    </row>
    <row r="235" spans="1:6" ht="29" customHeight="1" x14ac:dyDescent="0.35">
      <c r="A235" s="392"/>
      <c r="B235" s="6" t="s">
        <v>15</v>
      </c>
      <c r="C235" s="286">
        <f>IF(C234=0,"",+C234/C226)</f>
        <v>2.3424015780389579E-2</v>
      </c>
      <c r="D235" s="286">
        <f>IF(D234=0,"",+D234/D226)</f>
        <v>9.4793057409879831E-3</v>
      </c>
      <c r="E235" s="286">
        <f>IF(E234=0,"",+E234/E226)</f>
        <v>9.2390172808661259E-3</v>
      </c>
      <c r="F235" s="61"/>
    </row>
    <row r="236" spans="1:6" ht="29" customHeight="1" x14ac:dyDescent="0.35">
      <c r="A236" s="33" t="s">
        <v>9</v>
      </c>
      <c r="B236" s="34"/>
      <c r="C236" s="34"/>
      <c r="D236" s="34"/>
      <c r="E236" s="34"/>
      <c r="F236" s="35"/>
    </row>
    <row r="237" spans="1:6" ht="29" customHeight="1" x14ac:dyDescent="0.35">
      <c r="A237" s="402" t="s">
        <v>695</v>
      </c>
      <c r="B237" s="6" t="s">
        <v>7</v>
      </c>
      <c r="C237" s="288">
        <f>+C226-(C234)</f>
        <v>35646</v>
      </c>
      <c r="D237" s="288">
        <f>+D226-(D234)</f>
        <v>37095</v>
      </c>
      <c r="E237" s="288">
        <f>+E226-(E234)</f>
        <v>38069</v>
      </c>
      <c r="F237" s="343"/>
    </row>
    <row r="238" spans="1:6" ht="29" customHeight="1" x14ac:dyDescent="0.35">
      <c r="A238" s="403"/>
      <c r="B238" s="6" t="s">
        <v>15</v>
      </c>
      <c r="C238" s="286">
        <f>IF(C237=0,"",+C237/C226)</f>
        <v>0.97657598421961045</v>
      </c>
      <c r="D238" s="286">
        <f>IF(D237=0,"",+D237/D226)</f>
        <v>0.99052069425901201</v>
      </c>
      <c r="E238" s="286">
        <f>IF(E237=0,"",+E237/E226)</f>
        <v>0.99076098271913382</v>
      </c>
      <c r="F238" s="344"/>
    </row>
    <row r="239" spans="1:6" ht="29" customHeight="1" x14ac:dyDescent="0.35">
      <c r="A239" s="47" t="s">
        <v>75</v>
      </c>
      <c r="B239" s="34"/>
      <c r="C239" s="34"/>
      <c r="D239" s="34"/>
      <c r="E239" s="34"/>
      <c r="F239" s="35"/>
    </row>
    <row r="240" spans="1:6" ht="29" customHeight="1" x14ac:dyDescent="0.35">
      <c r="A240" s="402" t="s">
        <v>76</v>
      </c>
      <c r="B240" s="7" t="s">
        <v>7</v>
      </c>
      <c r="C240" s="60">
        <f>25%*C227/8</f>
        <v>79.845937500000005</v>
      </c>
      <c r="D240" s="60">
        <f>25%*D227*50%</f>
        <v>514.9375</v>
      </c>
      <c r="E240" s="60">
        <f t="shared" ref="E240" si="12">25%*E227</f>
        <v>1536.96</v>
      </c>
      <c r="F240" s="343" t="s">
        <v>1241</v>
      </c>
    </row>
    <row r="241" spans="1:6" ht="29" customHeight="1" x14ac:dyDescent="0.35">
      <c r="A241" s="403"/>
      <c r="B241" s="7" t="s">
        <v>15</v>
      </c>
      <c r="C241" s="286">
        <f>IF(C240=0,"",+C240/C226)</f>
        <v>2.1875000000000002E-3</v>
      </c>
      <c r="D241" s="286">
        <f>IF(D240=0,"",+D240/D226)</f>
        <v>1.375E-2</v>
      </c>
      <c r="E241" s="286">
        <f>IF(E240=0,"",+E240/E226)</f>
        <v>0.04</v>
      </c>
      <c r="F241" s="344"/>
    </row>
    <row r="242" spans="1:6" ht="29" customHeight="1" x14ac:dyDescent="0.35">
      <c r="A242" s="402" t="s">
        <v>716</v>
      </c>
      <c r="B242" s="7" t="s">
        <v>7</v>
      </c>
      <c r="C242" s="288">
        <f>+C240+C234</f>
        <v>934.84593749999999</v>
      </c>
      <c r="D242" s="288">
        <f>+D240+D234</f>
        <v>869.9375</v>
      </c>
      <c r="E242" s="288">
        <f>+E240+E234</f>
        <v>1891.96</v>
      </c>
      <c r="F242" s="343"/>
    </row>
    <row r="243" spans="1:6" ht="29" customHeight="1" x14ac:dyDescent="0.35">
      <c r="A243" s="403"/>
      <c r="B243" s="7" t="s">
        <v>15</v>
      </c>
      <c r="C243" s="286">
        <f>IF(C242=0,"",+C242/C226)</f>
        <v>2.5611515780389577E-2</v>
      </c>
      <c r="D243" s="286">
        <f>IF(D242=0,"",+D242/D226)</f>
        <v>2.3229305740987985E-2</v>
      </c>
      <c r="E243" s="286">
        <f>IF(E242=0,"",+E242/E226)</f>
        <v>4.9239017280866125E-2</v>
      </c>
      <c r="F243" s="344"/>
    </row>
    <row r="244" spans="1:6" ht="29" customHeight="1" x14ac:dyDescent="0.35">
      <c r="A244" s="402" t="s">
        <v>77</v>
      </c>
      <c r="B244" s="7" t="s">
        <v>7</v>
      </c>
      <c r="C244" s="288">
        <f>+C226-(C242)</f>
        <v>35566.154062499998</v>
      </c>
      <c r="D244" s="288">
        <f>+D226-(D242)</f>
        <v>36580.0625</v>
      </c>
      <c r="E244" s="288">
        <f>+E226-(E242)</f>
        <v>36532.04</v>
      </c>
      <c r="F244" s="343"/>
    </row>
    <row r="245" spans="1:6" ht="29" customHeight="1" thickBot="1" x14ac:dyDescent="0.4">
      <c r="A245" s="408"/>
      <c r="B245" s="7" t="s">
        <v>15</v>
      </c>
      <c r="C245" s="286">
        <f>IF(C244=0,"",+C244/C226)</f>
        <v>0.97438848421961033</v>
      </c>
      <c r="D245" s="286">
        <f>IF(D244=0,"",+D244/D226)</f>
        <v>0.97677069425901197</v>
      </c>
      <c r="E245" s="286">
        <f>IF(E244=0,"",+E244/E226)</f>
        <v>0.9507609827191339</v>
      </c>
      <c r="F245" s="344"/>
    </row>
    <row r="246" spans="1:6" x14ac:dyDescent="0.35">
      <c r="A246" s="404" t="s">
        <v>24</v>
      </c>
      <c r="B246" s="404"/>
      <c r="C246" s="404"/>
      <c r="D246" s="404"/>
      <c r="E246" s="404"/>
      <c r="F246" s="405" t="str">
        <f ca="1">Translations!$G$116</f>
        <v>Dernière version mise à jour mars 2020</v>
      </c>
    </row>
    <row r="247" spans="1:6" x14ac:dyDescent="0.35">
      <c r="A247" s="407" t="s">
        <v>516</v>
      </c>
      <c r="B247" s="407"/>
      <c r="C247" s="407"/>
      <c r="D247" s="407"/>
      <c r="E247" s="407"/>
      <c r="F247" s="406"/>
    </row>
    <row r="248" spans="1:6" ht="15" thickBot="1" x14ac:dyDescent="0.4">
      <c r="A248" s="407" t="s">
        <v>517</v>
      </c>
      <c r="B248" s="407"/>
      <c r="C248" s="407"/>
      <c r="D248" s="407"/>
      <c r="E248" s="407"/>
      <c r="F248" s="406"/>
    </row>
    <row r="249" spans="1:6" ht="16" thickBot="1" x14ac:dyDescent="0.4">
      <c r="A249" s="388" t="s">
        <v>715</v>
      </c>
      <c r="B249" s="389"/>
      <c r="C249" s="389"/>
      <c r="D249" s="389"/>
      <c r="E249" s="389"/>
      <c r="F249" s="390"/>
    </row>
    <row r="250" spans="1:6" ht="18.5" thickBot="1" x14ac:dyDescent="0.4">
      <c r="A250" s="36" t="s">
        <v>0</v>
      </c>
      <c r="B250" s="37"/>
      <c r="C250" s="37"/>
      <c r="D250" s="37"/>
      <c r="E250" s="37"/>
      <c r="F250" s="38"/>
    </row>
    <row r="251" spans="1:6" ht="34.5" customHeight="1" x14ac:dyDescent="0.35">
      <c r="A251" s="32" t="s">
        <v>30</v>
      </c>
      <c r="B251" s="326" t="s">
        <v>627</v>
      </c>
      <c r="C251" s="327"/>
      <c r="D251" s="327"/>
      <c r="E251" s="327"/>
      <c r="F251" s="328"/>
    </row>
    <row r="252" spans="1:6" ht="34.5" customHeight="1" x14ac:dyDescent="0.35">
      <c r="A252" s="32" t="s">
        <v>1</v>
      </c>
      <c r="B252" s="412" t="str">
        <f ca="1">VLOOKUP(B251,HIVModulesIndicators,2,FALSE)</f>
        <v>Pourcentage de personnes appartenant aux populations clés atteintes par des programmes de prévention - paquet de services définis</v>
      </c>
      <c r="C252" s="413"/>
      <c r="D252" s="413"/>
      <c r="E252" s="413"/>
      <c r="F252" s="414"/>
    </row>
    <row r="253" spans="1:6" ht="34.5" customHeight="1" x14ac:dyDescent="0.35">
      <c r="A253" s="79" t="s">
        <v>93</v>
      </c>
      <c r="B253" s="337" t="s">
        <v>1172</v>
      </c>
      <c r="C253" s="338"/>
      <c r="D253" s="338"/>
      <c r="E253" s="338"/>
      <c r="F253" s="339"/>
    </row>
    <row r="254" spans="1:6" ht="34.5" customHeight="1" x14ac:dyDescent="0.35">
      <c r="A254" s="39" t="s">
        <v>13</v>
      </c>
      <c r="B254" s="40"/>
      <c r="C254" s="40"/>
      <c r="D254" s="40"/>
      <c r="E254" s="40"/>
      <c r="F254" s="41"/>
    </row>
    <row r="255" spans="1:6" ht="34.5" customHeight="1" x14ac:dyDescent="0.35">
      <c r="A255" s="45" t="s">
        <v>14</v>
      </c>
      <c r="B255" s="293">
        <v>0.77</v>
      </c>
      <c r="C255" s="21" t="s">
        <v>10</v>
      </c>
      <c r="D255" s="56">
        <v>2019</v>
      </c>
      <c r="E255" s="46" t="s">
        <v>11</v>
      </c>
      <c r="F255" s="291" t="s">
        <v>1166</v>
      </c>
    </row>
    <row r="256" spans="1:6" ht="34.5" customHeight="1" thickBot="1" x14ac:dyDescent="0.4">
      <c r="A256" s="31" t="s">
        <v>12</v>
      </c>
      <c r="B256" s="323"/>
      <c r="C256" s="324"/>
      <c r="D256" s="324"/>
      <c r="E256" s="324"/>
      <c r="F256" s="325"/>
    </row>
    <row r="257" spans="1:6" ht="34.5" customHeight="1" thickBot="1" x14ac:dyDescent="0.4">
      <c r="A257" s="43"/>
      <c r="B257" s="42"/>
      <c r="C257" s="42"/>
      <c r="D257" s="42"/>
      <c r="E257" s="42"/>
      <c r="F257" s="44"/>
    </row>
    <row r="258" spans="1:6" ht="34.5" customHeight="1" x14ac:dyDescent="0.35">
      <c r="A258" s="396"/>
      <c r="B258" s="397"/>
      <c r="C258" s="22" t="s">
        <v>2</v>
      </c>
      <c r="D258" s="22" t="s">
        <v>3</v>
      </c>
      <c r="E258" s="22" t="s">
        <v>4</v>
      </c>
      <c r="F258" s="400" t="s">
        <v>31</v>
      </c>
    </row>
    <row r="259" spans="1:6" ht="34.5" customHeight="1" x14ac:dyDescent="0.35">
      <c r="A259" s="398"/>
      <c r="B259" s="399"/>
      <c r="C259" s="56">
        <v>2021</v>
      </c>
      <c r="D259" s="56">
        <v>2022</v>
      </c>
      <c r="E259" s="56">
        <v>2023</v>
      </c>
      <c r="F259" s="401"/>
    </row>
    <row r="260" spans="1:6" ht="34.5" customHeight="1" x14ac:dyDescent="0.35">
      <c r="A260" s="28" t="s">
        <v>6</v>
      </c>
      <c r="B260" s="29"/>
      <c r="C260" s="29"/>
      <c r="D260" s="29"/>
      <c r="E260" s="29"/>
      <c r="F260" s="30"/>
    </row>
    <row r="261" spans="1:6" ht="34.5" customHeight="1" x14ac:dyDescent="0.35">
      <c r="A261" s="5" t="s">
        <v>32</v>
      </c>
      <c r="B261" s="6" t="s">
        <v>7</v>
      </c>
      <c r="C261" s="230">
        <v>51164</v>
      </c>
      <c r="D261" s="230">
        <v>52494</v>
      </c>
      <c r="E261" s="230">
        <v>53859</v>
      </c>
      <c r="F261" s="291" t="s">
        <v>1173</v>
      </c>
    </row>
    <row r="262" spans="1:6" ht="68" customHeight="1" x14ac:dyDescent="0.35">
      <c r="A262" s="391" t="s">
        <v>33</v>
      </c>
      <c r="B262" s="7" t="s">
        <v>7</v>
      </c>
      <c r="C262" s="297">
        <f>C261*81%</f>
        <v>41442.840000000004</v>
      </c>
      <c r="D262" s="297">
        <f>D261*83%</f>
        <v>43570.02</v>
      </c>
      <c r="E262" s="297">
        <f>E261*86%</f>
        <v>46318.74</v>
      </c>
      <c r="F262" s="340" t="s">
        <v>1216</v>
      </c>
    </row>
    <row r="263" spans="1:6" ht="68" customHeight="1" x14ac:dyDescent="0.35">
      <c r="A263" s="392"/>
      <c r="B263" s="7" t="s">
        <v>15</v>
      </c>
      <c r="C263" s="286">
        <f>IF(C262=0,"",+C262/C261)</f>
        <v>0.81</v>
      </c>
      <c r="D263" s="286">
        <f t="shared" ref="D263:E263" si="13">IF(D262=0,"",+D262/D261)</f>
        <v>0.83</v>
      </c>
      <c r="E263" s="286">
        <f t="shared" si="13"/>
        <v>0.86</v>
      </c>
      <c r="F263" s="341"/>
    </row>
    <row r="264" spans="1:6" ht="34.5" customHeight="1" x14ac:dyDescent="0.35">
      <c r="A264" s="33" t="s">
        <v>8</v>
      </c>
      <c r="B264" s="34"/>
      <c r="C264" s="34"/>
      <c r="D264" s="34"/>
      <c r="E264" s="34"/>
      <c r="F264" s="35"/>
    </row>
    <row r="265" spans="1:6" ht="34.5" customHeight="1" x14ac:dyDescent="0.35">
      <c r="A265" s="391" t="s">
        <v>73</v>
      </c>
      <c r="B265" s="6" t="s">
        <v>7</v>
      </c>
      <c r="C265" s="60">
        <f>C262*5%</f>
        <v>2072.1420000000003</v>
      </c>
      <c r="D265" s="60">
        <f>D262*7.5%</f>
        <v>3267.7514999999999</v>
      </c>
      <c r="E265" s="60">
        <f>E262*10%</f>
        <v>4631.8739999999998</v>
      </c>
      <c r="F265" s="340" t="s">
        <v>1218</v>
      </c>
    </row>
    <row r="266" spans="1:6" ht="34.5" customHeight="1" x14ac:dyDescent="0.35">
      <c r="A266" s="392"/>
      <c r="B266" s="6" t="s">
        <v>15</v>
      </c>
      <c r="C266" s="286">
        <f>IF(C265=0,"",+C265/C261)</f>
        <v>4.0500000000000008E-2</v>
      </c>
      <c r="D266" s="286">
        <f>IF(D265=0,"",+D265/D261)</f>
        <v>6.225E-2</v>
      </c>
      <c r="E266" s="286">
        <f>IF(E265=0,"",+E265/E261)</f>
        <v>8.5999999999999993E-2</v>
      </c>
      <c r="F266" s="341"/>
    </row>
    <row r="267" spans="1:6" ht="34.5" customHeight="1" x14ac:dyDescent="0.35">
      <c r="A267" s="391" t="s">
        <v>74</v>
      </c>
      <c r="B267" s="6" t="s">
        <v>7</v>
      </c>
      <c r="C267" s="60">
        <v>25302</v>
      </c>
      <c r="D267" s="60">
        <v>25302</v>
      </c>
      <c r="E267" s="60">
        <v>25302</v>
      </c>
      <c r="F267" s="292" t="s">
        <v>1217</v>
      </c>
    </row>
    <row r="268" spans="1:6" ht="34.5" customHeight="1" x14ac:dyDescent="0.35">
      <c r="A268" s="392"/>
      <c r="B268" s="6" t="s">
        <v>15</v>
      </c>
      <c r="C268" s="286">
        <f>IF(C267=0,"",+C267/C261)</f>
        <v>0.49452740207958723</v>
      </c>
      <c r="D268" s="286">
        <f>IF(D267=0,"",+D267/D261)</f>
        <v>0.48199794262201395</v>
      </c>
      <c r="E268" s="286">
        <f>IF(E267=0,"",+E267/E261)</f>
        <v>0.46978220910154289</v>
      </c>
      <c r="F268" s="61"/>
    </row>
    <row r="269" spans="1:6" ht="34.5" customHeight="1" x14ac:dyDescent="0.35">
      <c r="A269" s="391" t="s">
        <v>692</v>
      </c>
      <c r="B269" s="6" t="s">
        <v>7</v>
      </c>
      <c r="C269" s="287">
        <f>+C265+C267</f>
        <v>27374.142</v>
      </c>
      <c r="D269" s="287">
        <f>+D265+D267</f>
        <v>28569.751499999998</v>
      </c>
      <c r="E269" s="287">
        <f>+E265+E267</f>
        <v>29933.874</v>
      </c>
      <c r="F269" s="61"/>
    </row>
    <row r="270" spans="1:6" ht="34.5" customHeight="1" x14ac:dyDescent="0.35">
      <c r="A270" s="392"/>
      <c r="B270" s="6" t="s">
        <v>15</v>
      </c>
      <c r="C270" s="286">
        <f>IF(C269=0,"",+C269/C261)</f>
        <v>0.53502740207958721</v>
      </c>
      <c r="D270" s="286">
        <f>IF(D269=0,"",+D269/D261)</f>
        <v>0.54424794262201392</v>
      </c>
      <c r="E270" s="286">
        <f>IF(E269=0,"",+E269/E261)</f>
        <v>0.55578220910154297</v>
      </c>
      <c r="F270" s="61"/>
    </row>
    <row r="271" spans="1:6" ht="34.5" customHeight="1" x14ac:dyDescent="0.35">
      <c r="A271" s="33" t="s">
        <v>9</v>
      </c>
      <c r="B271" s="34"/>
      <c r="C271" s="34"/>
      <c r="D271" s="34"/>
      <c r="E271" s="34"/>
      <c r="F271" s="35"/>
    </row>
    <row r="272" spans="1:6" ht="34.5" customHeight="1" x14ac:dyDescent="0.35">
      <c r="A272" s="402" t="s">
        <v>695</v>
      </c>
      <c r="B272" s="6" t="s">
        <v>7</v>
      </c>
      <c r="C272" s="288">
        <f>+C261-(C269)</f>
        <v>23789.858</v>
      </c>
      <c r="D272" s="288">
        <f>+D261-(D269)</f>
        <v>23924.248500000002</v>
      </c>
      <c r="E272" s="288">
        <f>+E261-(E269)</f>
        <v>23925.126</v>
      </c>
      <c r="F272" s="343"/>
    </row>
    <row r="273" spans="1:6" ht="34.5" customHeight="1" x14ac:dyDescent="0.35">
      <c r="A273" s="403"/>
      <c r="B273" s="6" t="s">
        <v>15</v>
      </c>
      <c r="C273" s="286">
        <f>IF(C272=0,"",+C272/C261)</f>
        <v>0.46497259792041279</v>
      </c>
      <c r="D273" s="286">
        <f>IF(D272=0,"",+D272/D261)</f>
        <v>0.45575205737798608</v>
      </c>
      <c r="E273" s="286">
        <f>IF(E272=0,"",+E272/E261)</f>
        <v>0.44421779089845709</v>
      </c>
      <c r="F273" s="344"/>
    </row>
    <row r="274" spans="1:6" ht="34.5" customHeight="1" x14ac:dyDescent="0.35">
      <c r="A274" s="47" t="s">
        <v>75</v>
      </c>
      <c r="B274" s="34"/>
      <c r="C274" s="34"/>
      <c r="D274" s="34"/>
      <c r="E274" s="34"/>
      <c r="F274" s="35"/>
    </row>
    <row r="275" spans="1:6" ht="34.5" customHeight="1" x14ac:dyDescent="0.35">
      <c r="A275" s="402" t="s">
        <v>76</v>
      </c>
      <c r="B275" s="7" t="s">
        <v>7</v>
      </c>
      <c r="C275" s="290">
        <f>15275</f>
        <v>15275</v>
      </c>
      <c r="D275" s="290">
        <f>15672</f>
        <v>15672</v>
      </c>
      <c r="E275" s="290">
        <v>16080</v>
      </c>
      <c r="F275" s="340" t="s">
        <v>1235</v>
      </c>
    </row>
    <row r="276" spans="1:6" ht="34.5" customHeight="1" x14ac:dyDescent="0.35">
      <c r="A276" s="403"/>
      <c r="B276" s="7" t="s">
        <v>15</v>
      </c>
      <c r="C276" s="286">
        <f>IF(C275=0,"",+C275/C261)</f>
        <v>0.29854976155109059</v>
      </c>
      <c r="D276" s="286">
        <f>IF(D275=0,"",+D275/D261)</f>
        <v>0.2985484055320608</v>
      </c>
      <c r="E276" s="286">
        <f>IF(E275=0,"",+E275/E261)</f>
        <v>0.29855734417646074</v>
      </c>
      <c r="F276" s="341"/>
    </row>
    <row r="277" spans="1:6" ht="34.5" customHeight="1" x14ac:dyDescent="0.35">
      <c r="A277" s="402" t="s">
        <v>716</v>
      </c>
      <c r="B277" s="7" t="s">
        <v>7</v>
      </c>
      <c r="C277" s="288">
        <f>+C275+C269</f>
        <v>42649.142</v>
      </c>
      <c r="D277" s="288">
        <f>+D275+D269</f>
        <v>44241.751499999998</v>
      </c>
      <c r="E277" s="288">
        <f>+E275+E269</f>
        <v>46013.873999999996</v>
      </c>
      <c r="F277" s="343"/>
    </row>
    <row r="278" spans="1:6" ht="34.5" customHeight="1" x14ac:dyDescent="0.35">
      <c r="A278" s="403"/>
      <c r="B278" s="7" t="s">
        <v>15</v>
      </c>
      <c r="C278" s="286">
        <f>IF(C277=0,"",+C277/C261)</f>
        <v>0.8335771636306778</v>
      </c>
      <c r="D278" s="286">
        <f>IF(D277=0,"",+D277/D261)</f>
        <v>0.84279634815407467</v>
      </c>
      <c r="E278" s="286">
        <f>IF(E277=0,"",+E277/E261)</f>
        <v>0.85433955327800359</v>
      </c>
      <c r="F278" s="344"/>
    </row>
    <row r="279" spans="1:6" ht="34.5" customHeight="1" x14ac:dyDescent="0.35">
      <c r="A279" s="402" t="s">
        <v>77</v>
      </c>
      <c r="B279" s="7" t="s">
        <v>7</v>
      </c>
      <c r="C279" s="288">
        <f>+C261-(C277)</f>
        <v>8514.8580000000002</v>
      </c>
      <c r="D279" s="288">
        <f>+D261-(D277)</f>
        <v>8252.2485000000015</v>
      </c>
      <c r="E279" s="288">
        <f>+E261-(E277)</f>
        <v>7845.1260000000038</v>
      </c>
      <c r="F279" s="343"/>
    </row>
    <row r="280" spans="1:6" ht="34.5" customHeight="1" thickBot="1" x14ac:dyDescent="0.4">
      <c r="A280" s="408"/>
      <c r="B280" s="7" t="s">
        <v>15</v>
      </c>
      <c r="C280" s="286">
        <f>IF(C279=0,"",+C279/C261)</f>
        <v>0.16642283636932217</v>
      </c>
      <c r="D280" s="286">
        <f>IF(D279=0,"",+D279/D261)</f>
        <v>0.15720365184592527</v>
      </c>
      <c r="E280" s="286">
        <f>IF(E279=0,"",+E279/E261)</f>
        <v>0.14566044672199641</v>
      </c>
      <c r="F280" s="344"/>
    </row>
    <row r="281" spans="1:6" ht="22" customHeight="1" x14ac:dyDescent="0.35">
      <c r="A281" s="404" t="s">
        <v>24</v>
      </c>
      <c r="B281" s="404"/>
      <c r="C281" s="404"/>
      <c r="D281" s="404"/>
      <c r="E281" s="404"/>
      <c r="F281" s="405" t="str">
        <f ca="1">Translations!$G$116</f>
        <v>Dernière version mise à jour mars 2020</v>
      </c>
    </row>
    <row r="282" spans="1:6" ht="22" customHeight="1" x14ac:dyDescent="0.35">
      <c r="A282" s="407" t="s">
        <v>516</v>
      </c>
      <c r="B282" s="407"/>
      <c r="C282" s="407"/>
      <c r="D282" s="407"/>
      <c r="E282" s="407"/>
      <c r="F282" s="406"/>
    </row>
    <row r="283" spans="1:6" ht="22" customHeight="1" thickBot="1" x14ac:dyDescent="0.4">
      <c r="A283" s="407" t="s">
        <v>517</v>
      </c>
      <c r="B283" s="407"/>
      <c r="C283" s="407"/>
      <c r="D283" s="407"/>
      <c r="E283" s="407"/>
      <c r="F283" s="406"/>
    </row>
    <row r="284" spans="1:6" ht="53" customHeight="1" thickBot="1" x14ac:dyDescent="0.4">
      <c r="A284" s="388" t="s">
        <v>715</v>
      </c>
      <c r="B284" s="389"/>
      <c r="C284" s="389"/>
      <c r="D284" s="389"/>
      <c r="E284" s="389"/>
      <c r="F284" s="390"/>
    </row>
    <row r="285" spans="1:6" ht="18.5" thickBot="1" x14ac:dyDescent="0.4">
      <c r="A285" s="36" t="s">
        <v>0</v>
      </c>
      <c r="B285" s="37"/>
      <c r="C285" s="37"/>
      <c r="D285" s="37"/>
      <c r="E285" s="37"/>
      <c r="F285" s="38"/>
    </row>
    <row r="286" spans="1:6" x14ac:dyDescent="0.35">
      <c r="A286" s="32" t="s">
        <v>30</v>
      </c>
      <c r="B286" s="326"/>
      <c r="C286" s="327"/>
      <c r="D286" s="327"/>
      <c r="E286" s="327"/>
      <c r="F286" s="328"/>
    </row>
    <row r="287" spans="1:6" x14ac:dyDescent="0.35">
      <c r="A287" s="32" t="s">
        <v>1</v>
      </c>
      <c r="B287" s="326"/>
      <c r="C287" s="327"/>
      <c r="D287" s="327"/>
      <c r="E287" s="327"/>
      <c r="F287" s="328"/>
    </row>
    <row r="288" spans="1:6" x14ac:dyDescent="0.35">
      <c r="A288" s="79" t="s">
        <v>93</v>
      </c>
      <c r="B288" s="337"/>
      <c r="C288" s="338"/>
      <c r="D288" s="338"/>
      <c r="E288" s="338"/>
      <c r="F288" s="339"/>
    </row>
    <row r="289" spans="1:6" x14ac:dyDescent="0.35">
      <c r="A289" s="39" t="s">
        <v>13</v>
      </c>
      <c r="B289" s="40"/>
      <c r="C289" s="40"/>
      <c r="D289" s="40"/>
      <c r="E289" s="40"/>
      <c r="F289" s="41"/>
    </row>
    <row r="290" spans="1:6" x14ac:dyDescent="0.35">
      <c r="A290" s="45" t="s">
        <v>14</v>
      </c>
      <c r="B290" s="53"/>
      <c r="C290" s="21" t="s">
        <v>10</v>
      </c>
      <c r="D290" s="54"/>
      <c r="E290" s="46" t="s">
        <v>11</v>
      </c>
      <c r="F290" s="55"/>
    </row>
    <row r="291" spans="1:6" ht="15" thickBot="1" x14ac:dyDescent="0.4">
      <c r="A291" s="31" t="s">
        <v>12</v>
      </c>
      <c r="B291" s="323"/>
      <c r="C291" s="324"/>
      <c r="D291" s="324"/>
      <c r="E291" s="324"/>
      <c r="F291" s="325"/>
    </row>
    <row r="292" spans="1:6" ht="15" thickBot="1" x14ac:dyDescent="0.4">
      <c r="A292" s="43"/>
      <c r="B292" s="42"/>
      <c r="C292" s="42"/>
      <c r="D292" s="42"/>
      <c r="E292" s="42"/>
      <c r="F292" s="44"/>
    </row>
    <row r="293" spans="1:6" x14ac:dyDescent="0.35">
      <c r="A293" s="396"/>
      <c r="B293" s="397"/>
      <c r="C293" s="22" t="s">
        <v>2</v>
      </c>
      <c r="D293" s="22" t="s">
        <v>3</v>
      </c>
      <c r="E293" s="22" t="s">
        <v>4</v>
      </c>
      <c r="F293" s="400" t="s">
        <v>31</v>
      </c>
    </row>
    <row r="294" spans="1:6" x14ac:dyDescent="0.35">
      <c r="A294" s="398"/>
      <c r="B294" s="399"/>
      <c r="C294" s="56" t="s">
        <v>5</v>
      </c>
      <c r="D294" s="56" t="s">
        <v>5</v>
      </c>
      <c r="E294" s="56" t="s">
        <v>5</v>
      </c>
      <c r="F294" s="401"/>
    </row>
    <row r="295" spans="1:6" ht="28" x14ac:dyDescent="0.35">
      <c r="A295" s="28" t="s">
        <v>6</v>
      </c>
      <c r="B295" s="29"/>
      <c r="C295" s="29"/>
      <c r="D295" s="29"/>
      <c r="E295" s="29"/>
      <c r="F295" s="30"/>
    </row>
    <row r="296" spans="1:6" ht="28" x14ac:dyDescent="0.35">
      <c r="A296" s="5" t="s">
        <v>32</v>
      </c>
      <c r="B296" s="6" t="s">
        <v>7</v>
      </c>
      <c r="C296" s="57"/>
      <c r="D296" s="57"/>
      <c r="E296" s="57"/>
      <c r="F296" s="59"/>
    </row>
    <row r="297" spans="1:6" x14ac:dyDescent="0.35">
      <c r="A297" s="391" t="s">
        <v>33</v>
      </c>
      <c r="B297" s="7" t="s">
        <v>7</v>
      </c>
      <c r="C297" s="58"/>
      <c r="D297" s="58"/>
      <c r="E297" s="58"/>
      <c r="F297" s="343"/>
    </row>
    <row r="298" spans="1:6" x14ac:dyDescent="0.35">
      <c r="A298" s="392"/>
      <c r="B298" s="7" t="s">
        <v>15</v>
      </c>
      <c r="C298" s="286" t="str">
        <f>IF(C297=0,"",+C297/C296)</f>
        <v/>
      </c>
      <c r="D298" s="286" t="str">
        <f t="shared" ref="D298:E298" si="14">IF(D297=0,"",+D297/D296)</f>
        <v/>
      </c>
      <c r="E298" s="286" t="str">
        <f t="shared" si="14"/>
        <v/>
      </c>
      <c r="F298" s="344"/>
    </row>
    <row r="299" spans="1:6" x14ac:dyDescent="0.35">
      <c r="A299" s="33" t="s">
        <v>8</v>
      </c>
      <c r="B299" s="34"/>
      <c r="C299" s="34"/>
      <c r="D299" s="34"/>
      <c r="E299" s="34"/>
      <c r="F299" s="35"/>
    </row>
    <row r="300" spans="1:6" x14ac:dyDescent="0.35">
      <c r="A300" s="391" t="s">
        <v>73</v>
      </c>
      <c r="B300" s="6" t="s">
        <v>7</v>
      </c>
      <c r="C300" s="60"/>
      <c r="D300" s="60"/>
      <c r="E300" s="60"/>
      <c r="F300" s="343"/>
    </row>
    <row r="301" spans="1:6" x14ac:dyDescent="0.35">
      <c r="A301" s="392"/>
      <c r="B301" s="6" t="s">
        <v>15</v>
      </c>
      <c r="C301" s="286" t="str">
        <f>IF(C300=0,"",+C300/C296)</f>
        <v/>
      </c>
      <c r="D301" s="286" t="str">
        <f>IF(D300=0,"",+D300/D296)</f>
        <v/>
      </c>
      <c r="E301" s="286" t="str">
        <f>IF(E300=0,"",+E300/E296)</f>
        <v/>
      </c>
      <c r="F301" s="344"/>
    </row>
    <row r="302" spans="1:6" x14ac:dyDescent="0.35">
      <c r="A302" s="391" t="s">
        <v>74</v>
      </c>
      <c r="B302" s="6" t="s">
        <v>7</v>
      </c>
      <c r="C302" s="285"/>
      <c r="D302" s="285"/>
      <c r="E302" s="285"/>
      <c r="F302" s="61"/>
    </row>
    <row r="303" spans="1:6" x14ac:dyDescent="0.35">
      <c r="A303" s="392"/>
      <c r="B303" s="6" t="s">
        <v>15</v>
      </c>
      <c r="C303" s="286" t="str">
        <f>IF(C302=0,"",+C302/C296)</f>
        <v/>
      </c>
      <c r="D303" s="286" t="str">
        <f>IF(D302=0,"",+D302/D296)</f>
        <v/>
      </c>
      <c r="E303" s="286" t="str">
        <f>IF(E302=0,"",+E302/E296)</f>
        <v/>
      </c>
      <c r="F303" s="61"/>
    </row>
    <row r="304" spans="1:6" x14ac:dyDescent="0.35">
      <c r="A304" s="391" t="s">
        <v>692</v>
      </c>
      <c r="B304" s="6" t="s">
        <v>7</v>
      </c>
      <c r="C304" s="287">
        <f>+C300+C302</f>
        <v>0</v>
      </c>
      <c r="D304" s="287">
        <f>+D300+D302</f>
        <v>0</v>
      </c>
      <c r="E304" s="287">
        <f>+E300+E302</f>
        <v>0</v>
      </c>
      <c r="F304" s="61"/>
    </row>
    <row r="305" spans="1:6" x14ac:dyDescent="0.35">
      <c r="A305" s="392"/>
      <c r="B305" s="6" t="s">
        <v>15</v>
      </c>
      <c r="C305" s="286" t="str">
        <f>IF(C304=0,"",+C304/C296)</f>
        <v/>
      </c>
      <c r="D305" s="286" t="str">
        <f>IF(D304=0,"",+D304/D296)</f>
        <v/>
      </c>
      <c r="E305" s="286" t="str">
        <f>IF(E304=0,"",+E304/E296)</f>
        <v/>
      </c>
      <c r="F305" s="61"/>
    </row>
    <row r="306" spans="1:6" x14ac:dyDescent="0.35">
      <c r="A306" s="33" t="s">
        <v>9</v>
      </c>
      <c r="B306" s="34"/>
      <c r="C306" s="34"/>
      <c r="D306" s="34"/>
      <c r="E306" s="34"/>
      <c r="F306" s="35"/>
    </row>
    <row r="307" spans="1:6" x14ac:dyDescent="0.35">
      <c r="A307" s="402" t="s">
        <v>695</v>
      </c>
      <c r="B307" s="6" t="s">
        <v>7</v>
      </c>
      <c r="C307" s="288">
        <f>+C296-(C304)</f>
        <v>0</v>
      </c>
      <c r="D307" s="288">
        <f>+D296-(D304)</f>
        <v>0</v>
      </c>
      <c r="E307" s="288">
        <f>+E296-(E304)</f>
        <v>0</v>
      </c>
      <c r="F307" s="343"/>
    </row>
    <row r="308" spans="1:6" x14ac:dyDescent="0.35">
      <c r="A308" s="403"/>
      <c r="B308" s="6" t="s">
        <v>15</v>
      </c>
      <c r="C308" s="286" t="str">
        <f>IF(C307=0,"",+C307/C296)</f>
        <v/>
      </c>
      <c r="D308" s="286" t="str">
        <f>IF(D307=0,"",+D307/D296)</f>
        <v/>
      </c>
      <c r="E308" s="286" t="str">
        <f>IF(E307=0,"",+E307/E296)</f>
        <v/>
      </c>
      <c r="F308" s="344"/>
    </row>
    <row r="309" spans="1:6" x14ac:dyDescent="0.35">
      <c r="A309" s="47" t="s">
        <v>75</v>
      </c>
      <c r="B309" s="34"/>
      <c r="C309" s="34"/>
      <c r="D309" s="34"/>
      <c r="E309" s="34"/>
      <c r="F309" s="35"/>
    </row>
    <row r="310" spans="1:6" x14ac:dyDescent="0.35">
      <c r="A310" s="402" t="s">
        <v>76</v>
      </c>
      <c r="B310" s="7" t="s">
        <v>7</v>
      </c>
      <c r="C310" s="60"/>
      <c r="D310" s="60"/>
      <c r="E310" s="60"/>
      <c r="F310" s="343"/>
    </row>
    <row r="311" spans="1:6" x14ac:dyDescent="0.35">
      <c r="A311" s="403"/>
      <c r="B311" s="7" t="s">
        <v>15</v>
      </c>
      <c r="C311" s="286" t="str">
        <f>IF(C310=0,"",+C310/C296)</f>
        <v/>
      </c>
      <c r="D311" s="286" t="str">
        <f>IF(D310=0,"",+D310/D296)</f>
        <v/>
      </c>
      <c r="E311" s="286" t="str">
        <f>IF(E310=0,"",+E310/E296)</f>
        <v/>
      </c>
      <c r="F311" s="344"/>
    </row>
    <row r="312" spans="1:6" x14ac:dyDescent="0.35">
      <c r="A312" s="402" t="s">
        <v>716</v>
      </c>
      <c r="B312" s="7" t="s">
        <v>7</v>
      </c>
      <c r="C312" s="288">
        <f>+C310+C304</f>
        <v>0</v>
      </c>
      <c r="D312" s="288">
        <f>+D310+D304</f>
        <v>0</v>
      </c>
      <c r="E312" s="288">
        <f>+E310+E304</f>
        <v>0</v>
      </c>
      <c r="F312" s="343"/>
    </row>
    <row r="313" spans="1:6" x14ac:dyDescent="0.35">
      <c r="A313" s="403"/>
      <c r="B313" s="7" t="s">
        <v>15</v>
      </c>
      <c r="C313" s="286" t="str">
        <f>IF(C312=0,"",+C312/C296)</f>
        <v/>
      </c>
      <c r="D313" s="286" t="str">
        <f>IF(D312=0,"",+D312/D296)</f>
        <v/>
      </c>
      <c r="E313" s="286" t="str">
        <f>IF(E312=0,"",+E312/E296)</f>
        <v/>
      </c>
      <c r="F313" s="344"/>
    </row>
    <row r="314" spans="1:6" x14ac:dyDescent="0.35">
      <c r="A314" s="402" t="s">
        <v>77</v>
      </c>
      <c r="B314" s="7" t="s">
        <v>7</v>
      </c>
      <c r="C314" s="288">
        <f>+C296-(C312)</f>
        <v>0</v>
      </c>
      <c r="D314" s="288">
        <f>+D296-(D312)</f>
        <v>0</v>
      </c>
      <c r="E314" s="288">
        <f>+E296-(E312)</f>
        <v>0</v>
      </c>
      <c r="F314" s="343"/>
    </row>
    <row r="315" spans="1:6" ht="15" thickBot="1" x14ac:dyDescent="0.4">
      <c r="A315" s="408"/>
      <c r="B315" s="7" t="s">
        <v>15</v>
      </c>
      <c r="C315" s="286" t="str">
        <f>IF(C314=0,"",+C314/C296)</f>
        <v/>
      </c>
      <c r="D315" s="286" t="str">
        <f>IF(D314=0,"",+D314/D296)</f>
        <v/>
      </c>
      <c r="E315" s="286" t="str">
        <f>IF(E314=0,"",+E314/E296)</f>
        <v/>
      </c>
      <c r="F315" s="344"/>
    </row>
    <row r="316" spans="1:6" x14ac:dyDescent="0.35">
      <c r="A316" s="404" t="s">
        <v>24</v>
      </c>
      <c r="B316" s="404"/>
      <c r="C316" s="404"/>
      <c r="D316" s="404"/>
      <c r="E316" s="404"/>
      <c r="F316" s="405" t="str">
        <f ca="1">Translations!$G$116</f>
        <v>Dernière version mise à jour mars 2020</v>
      </c>
    </row>
    <row r="317" spans="1:6" x14ac:dyDescent="0.35">
      <c r="A317" s="407" t="s">
        <v>516</v>
      </c>
      <c r="B317" s="407"/>
      <c r="C317" s="407"/>
      <c r="D317" s="407"/>
      <c r="E317" s="407"/>
      <c r="F317" s="406"/>
    </row>
    <row r="318" spans="1:6" ht="15" thickBot="1" x14ac:dyDescent="0.4">
      <c r="A318" s="407" t="s">
        <v>517</v>
      </c>
      <c r="B318" s="407"/>
      <c r="C318" s="407"/>
      <c r="D318" s="407"/>
      <c r="E318" s="407"/>
      <c r="F318" s="406"/>
    </row>
    <row r="319" spans="1:6" ht="16" thickBot="1" x14ac:dyDescent="0.4">
      <c r="A319" s="388" t="s">
        <v>715</v>
      </c>
      <c r="B319" s="389"/>
      <c r="C319" s="389"/>
      <c r="D319" s="389"/>
      <c r="E319" s="389"/>
      <c r="F319" s="390"/>
    </row>
    <row r="320" spans="1:6" ht="18.5" thickBot="1" x14ac:dyDescent="0.4">
      <c r="A320" s="36" t="s">
        <v>0</v>
      </c>
      <c r="B320" s="37"/>
      <c r="C320" s="37"/>
      <c r="D320" s="37"/>
      <c r="E320" s="37"/>
      <c r="F320" s="38"/>
    </row>
    <row r="321" spans="1:6" x14ac:dyDescent="0.35">
      <c r="A321" s="32" t="s">
        <v>30</v>
      </c>
      <c r="B321" s="326"/>
      <c r="C321" s="327"/>
      <c r="D321" s="327"/>
      <c r="E321" s="327"/>
      <c r="F321" s="328"/>
    </row>
    <row r="322" spans="1:6" x14ac:dyDescent="0.35">
      <c r="A322" s="32" t="s">
        <v>1</v>
      </c>
      <c r="B322" s="326"/>
      <c r="C322" s="327"/>
      <c r="D322" s="327"/>
      <c r="E322" s="327"/>
      <c r="F322" s="328"/>
    </row>
    <row r="323" spans="1:6" x14ac:dyDescent="0.35">
      <c r="A323" s="79" t="s">
        <v>93</v>
      </c>
      <c r="B323" s="337"/>
      <c r="C323" s="338"/>
      <c r="D323" s="338"/>
      <c r="E323" s="338"/>
      <c r="F323" s="339"/>
    </row>
    <row r="324" spans="1:6" x14ac:dyDescent="0.35">
      <c r="A324" s="39" t="s">
        <v>13</v>
      </c>
      <c r="B324" s="40"/>
      <c r="C324" s="40"/>
      <c r="D324" s="40"/>
      <c r="E324" s="40"/>
      <c r="F324" s="41"/>
    </row>
    <row r="325" spans="1:6" x14ac:dyDescent="0.35">
      <c r="A325" s="45" t="s">
        <v>14</v>
      </c>
      <c r="B325" s="53"/>
      <c r="C325" s="21" t="s">
        <v>10</v>
      </c>
      <c r="D325" s="54"/>
      <c r="E325" s="46" t="s">
        <v>11</v>
      </c>
      <c r="F325" s="55"/>
    </row>
    <row r="326" spans="1:6" ht="15" thickBot="1" x14ac:dyDescent="0.4">
      <c r="A326" s="31" t="s">
        <v>12</v>
      </c>
      <c r="B326" s="323"/>
      <c r="C326" s="324"/>
      <c r="D326" s="324"/>
      <c r="E326" s="324"/>
      <c r="F326" s="325"/>
    </row>
    <row r="327" spans="1:6" ht="15" thickBot="1" x14ac:dyDescent="0.4">
      <c r="A327" s="43"/>
      <c r="B327" s="42"/>
      <c r="C327" s="42"/>
      <c r="D327" s="42"/>
      <c r="E327" s="42"/>
      <c r="F327" s="44"/>
    </row>
    <row r="328" spans="1:6" x14ac:dyDescent="0.35">
      <c r="A328" s="396"/>
      <c r="B328" s="397"/>
      <c r="C328" s="22" t="s">
        <v>2</v>
      </c>
      <c r="D328" s="22" t="s">
        <v>3</v>
      </c>
      <c r="E328" s="22" t="s">
        <v>4</v>
      </c>
      <c r="F328" s="400" t="s">
        <v>31</v>
      </c>
    </row>
    <row r="329" spans="1:6" x14ac:dyDescent="0.35">
      <c r="A329" s="398"/>
      <c r="B329" s="399"/>
      <c r="C329" s="56" t="s">
        <v>5</v>
      </c>
      <c r="D329" s="56" t="s">
        <v>5</v>
      </c>
      <c r="E329" s="56" t="s">
        <v>5</v>
      </c>
      <c r="F329" s="401"/>
    </row>
    <row r="330" spans="1:6" ht="28" x14ac:dyDescent="0.35">
      <c r="A330" s="28" t="s">
        <v>6</v>
      </c>
      <c r="B330" s="29"/>
      <c r="C330" s="29"/>
      <c r="D330" s="29"/>
      <c r="E330" s="29"/>
      <c r="F330" s="30"/>
    </row>
    <row r="331" spans="1:6" ht="28" x14ac:dyDescent="0.35">
      <c r="A331" s="5" t="s">
        <v>32</v>
      </c>
      <c r="B331" s="6" t="s">
        <v>7</v>
      </c>
      <c r="C331" s="57"/>
      <c r="D331" s="57"/>
      <c r="E331" s="57"/>
      <c r="F331" s="59"/>
    </row>
    <row r="332" spans="1:6" x14ac:dyDescent="0.35">
      <c r="A332" s="391" t="s">
        <v>33</v>
      </c>
      <c r="B332" s="7" t="s">
        <v>7</v>
      </c>
      <c r="C332" s="58"/>
      <c r="D332" s="58"/>
      <c r="E332" s="58"/>
      <c r="F332" s="343"/>
    </row>
    <row r="333" spans="1:6" x14ac:dyDescent="0.35">
      <c r="A333" s="392"/>
      <c r="B333" s="7" t="s">
        <v>15</v>
      </c>
      <c r="C333" s="286" t="str">
        <f>IF(C332=0,"",+C332/C331)</f>
        <v/>
      </c>
      <c r="D333" s="286" t="str">
        <f t="shared" ref="D333:E333" si="15">IF(D332=0,"",+D332/D331)</f>
        <v/>
      </c>
      <c r="E333" s="286" t="str">
        <f t="shared" si="15"/>
        <v/>
      </c>
      <c r="F333" s="344"/>
    </row>
    <row r="334" spans="1:6" x14ac:dyDescent="0.35">
      <c r="A334" s="33" t="s">
        <v>8</v>
      </c>
      <c r="B334" s="34"/>
      <c r="C334" s="34"/>
      <c r="D334" s="34"/>
      <c r="E334" s="34"/>
      <c r="F334" s="35"/>
    </row>
    <row r="335" spans="1:6" x14ac:dyDescent="0.35">
      <c r="A335" s="391" t="s">
        <v>73</v>
      </c>
      <c r="B335" s="6" t="s">
        <v>7</v>
      </c>
      <c r="C335" s="60"/>
      <c r="D335" s="60"/>
      <c r="E335" s="60"/>
      <c r="F335" s="343"/>
    </row>
    <row r="336" spans="1:6" x14ac:dyDescent="0.35">
      <c r="A336" s="392"/>
      <c r="B336" s="6" t="s">
        <v>15</v>
      </c>
      <c r="C336" s="286" t="str">
        <f>IF(C335=0,"",+C335/C331)</f>
        <v/>
      </c>
      <c r="D336" s="286" t="str">
        <f>IF(D335=0,"",+D335/D331)</f>
        <v/>
      </c>
      <c r="E336" s="286" t="str">
        <f>IF(E335=0,"",+E335/E331)</f>
        <v/>
      </c>
      <c r="F336" s="344"/>
    </row>
    <row r="337" spans="1:6" x14ac:dyDescent="0.35">
      <c r="A337" s="391" t="s">
        <v>74</v>
      </c>
      <c r="B337" s="6" t="s">
        <v>7</v>
      </c>
      <c r="C337" s="285"/>
      <c r="D337" s="285"/>
      <c r="E337" s="285"/>
      <c r="F337" s="61"/>
    </row>
    <row r="338" spans="1:6" x14ac:dyDescent="0.35">
      <c r="A338" s="392"/>
      <c r="B338" s="6" t="s">
        <v>15</v>
      </c>
      <c r="C338" s="286" t="str">
        <f>IF(C337=0,"",+C337/C331)</f>
        <v/>
      </c>
      <c r="D338" s="286" t="str">
        <f>IF(D337=0,"",+D337/D331)</f>
        <v/>
      </c>
      <c r="E338" s="286" t="str">
        <f>IF(E337=0,"",+E337/E331)</f>
        <v/>
      </c>
      <c r="F338" s="61"/>
    </row>
    <row r="339" spans="1:6" x14ac:dyDescent="0.35">
      <c r="A339" s="391" t="s">
        <v>692</v>
      </c>
      <c r="B339" s="6" t="s">
        <v>7</v>
      </c>
      <c r="C339" s="287">
        <f>+C335+C337</f>
        <v>0</v>
      </c>
      <c r="D339" s="287">
        <f>+D335+D337</f>
        <v>0</v>
      </c>
      <c r="E339" s="287">
        <f>+E335+E337</f>
        <v>0</v>
      </c>
      <c r="F339" s="61"/>
    </row>
    <row r="340" spans="1:6" x14ac:dyDescent="0.35">
      <c r="A340" s="392"/>
      <c r="B340" s="6" t="s">
        <v>15</v>
      </c>
      <c r="C340" s="286" t="str">
        <f>IF(C339=0,"",+C339/C331)</f>
        <v/>
      </c>
      <c r="D340" s="286" t="str">
        <f>IF(D339=0,"",+D339/D331)</f>
        <v/>
      </c>
      <c r="E340" s="286" t="str">
        <f>IF(E339=0,"",+E339/E331)</f>
        <v/>
      </c>
      <c r="F340" s="61"/>
    </row>
    <row r="341" spans="1:6" x14ac:dyDescent="0.35">
      <c r="A341" s="33" t="s">
        <v>9</v>
      </c>
      <c r="B341" s="34"/>
      <c r="C341" s="34"/>
      <c r="D341" s="34"/>
      <c r="E341" s="34"/>
      <c r="F341" s="35"/>
    </row>
    <row r="342" spans="1:6" x14ac:dyDescent="0.35">
      <c r="A342" s="402" t="s">
        <v>695</v>
      </c>
      <c r="B342" s="6" t="s">
        <v>7</v>
      </c>
      <c r="C342" s="288">
        <f>+C331-(C339)</f>
        <v>0</v>
      </c>
      <c r="D342" s="288">
        <f>+D331-(D339)</f>
        <v>0</v>
      </c>
      <c r="E342" s="288">
        <f>+E331-(E339)</f>
        <v>0</v>
      </c>
      <c r="F342" s="343"/>
    </row>
    <row r="343" spans="1:6" x14ac:dyDescent="0.35">
      <c r="A343" s="403"/>
      <c r="B343" s="6" t="s">
        <v>15</v>
      </c>
      <c r="C343" s="286" t="str">
        <f>IF(C342=0,"",+C342/C331)</f>
        <v/>
      </c>
      <c r="D343" s="286" t="str">
        <f>IF(D342=0,"",+D342/D331)</f>
        <v/>
      </c>
      <c r="E343" s="286" t="str">
        <f>IF(E342=0,"",+E342/E331)</f>
        <v/>
      </c>
      <c r="F343" s="344"/>
    </row>
    <row r="344" spans="1:6" x14ac:dyDescent="0.35">
      <c r="A344" s="47" t="s">
        <v>75</v>
      </c>
      <c r="B344" s="34"/>
      <c r="C344" s="34"/>
      <c r="D344" s="34"/>
      <c r="E344" s="34"/>
      <c r="F344" s="35"/>
    </row>
    <row r="345" spans="1:6" x14ac:dyDescent="0.35">
      <c r="A345" s="402" t="s">
        <v>76</v>
      </c>
      <c r="B345" s="7" t="s">
        <v>7</v>
      </c>
      <c r="C345" s="60"/>
      <c r="D345" s="60"/>
      <c r="E345" s="60"/>
      <c r="F345" s="343"/>
    </row>
    <row r="346" spans="1:6" x14ac:dyDescent="0.35">
      <c r="A346" s="403"/>
      <c r="B346" s="7" t="s">
        <v>15</v>
      </c>
      <c r="C346" s="286" t="str">
        <f>IF(C345=0,"",+C345/C331)</f>
        <v/>
      </c>
      <c r="D346" s="286" t="str">
        <f>IF(D345=0,"",+D345/D331)</f>
        <v/>
      </c>
      <c r="E346" s="286" t="str">
        <f>IF(E345=0,"",+E345/E331)</f>
        <v/>
      </c>
      <c r="F346" s="344"/>
    </row>
    <row r="347" spans="1:6" x14ac:dyDescent="0.35">
      <c r="A347" s="402" t="s">
        <v>716</v>
      </c>
      <c r="B347" s="7" t="s">
        <v>7</v>
      </c>
      <c r="C347" s="288">
        <f>+C345+C339</f>
        <v>0</v>
      </c>
      <c r="D347" s="288">
        <f>+D345+D339</f>
        <v>0</v>
      </c>
      <c r="E347" s="288">
        <f>+E345+E339</f>
        <v>0</v>
      </c>
      <c r="F347" s="343"/>
    </row>
    <row r="348" spans="1:6" x14ac:dyDescent="0.35">
      <c r="A348" s="403"/>
      <c r="B348" s="7" t="s">
        <v>15</v>
      </c>
      <c r="C348" s="286" t="str">
        <f>IF(C347=0,"",+C347/C331)</f>
        <v/>
      </c>
      <c r="D348" s="286" t="str">
        <f>IF(D347=0,"",+D347/D331)</f>
        <v/>
      </c>
      <c r="E348" s="286" t="str">
        <f>IF(E347=0,"",+E347/E331)</f>
        <v/>
      </c>
      <c r="F348" s="344"/>
    </row>
    <row r="349" spans="1:6" x14ac:dyDescent="0.35">
      <c r="A349" s="402" t="s">
        <v>77</v>
      </c>
      <c r="B349" s="7" t="s">
        <v>7</v>
      </c>
      <c r="C349" s="288">
        <f>+C331-(C347)</f>
        <v>0</v>
      </c>
      <c r="D349" s="288">
        <f>+D331-(D347)</f>
        <v>0</v>
      </c>
      <c r="E349" s="288">
        <f>+E331-(E347)</f>
        <v>0</v>
      </c>
      <c r="F349" s="343"/>
    </row>
    <row r="350" spans="1:6" ht="15" thickBot="1" x14ac:dyDescent="0.4">
      <c r="A350" s="408"/>
      <c r="B350" s="7" t="s">
        <v>15</v>
      </c>
      <c r="C350" s="286" t="str">
        <f>IF(C349=0,"",+C349/C331)</f>
        <v/>
      </c>
      <c r="D350" s="286" t="str">
        <f>IF(D349=0,"",+D349/D331)</f>
        <v/>
      </c>
      <c r="E350" s="286" t="str">
        <f>IF(E349=0,"",+E349/E331)</f>
        <v/>
      </c>
      <c r="F350" s="344"/>
    </row>
  </sheetData>
  <sheetProtection password="E205" sheet="1" formatColumns="0" formatRows="0"/>
  <mergeCells count="252">
    <mergeCell ref="A347:A348"/>
    <mergeCell ref="F347:F348"/>
    <mergeCell ref="A349:A350"/>
    <mergeCell ref="F349:F350"/>
    <mergeCell ref="A337:A338"/>
    <mergeCell ref="A339:A340"/>
    <mergeCell ref="A342:A343"/>
    <mergeCell ref="F342:F343"/>
    <mergeCell ref="A345:A346"/>
    <mergeCell ref="F345:F346"/>
    <mergeCell ref="A328:B329"/>
    <mergeCell ref="F328:F329"/>
    <mergeCell ref="A332:A333"/>
    <mergeCell ref="F332:F333"/>
    <mergeCell ref="A335:A336"/>
    <mergeCell ref="F335:F336"/>
    <mergeCell ref="A319:F319"/>
    <mergeCell ref="B321:F321"/>
    <mergeCell ref="B322:F322"/>
    <mergeCell ref="B323:F323"/>
    <mergeCell ref="B326:F326"/>
    <mergeCell ref="A312:A313"/>
    <mergeCell ref="F312:F313"/>
    <mergeCell ref="A314:A315"/>
    <mergeCell ref="F314:F315"/>
    <mergeCell ref="A316:E316"/>
    <mergeCell ref="F316:F318"/>
    <mergeCell ref="A317:E317"/>
    <mergeCell ref="A318:E318"/>
    <mergeCell ref="A302:A303"/>
    <mergeCell ref="A304:A305"/>
    <mergeCell ref="A307:A308"/>
    <mergeCell ref="F307:F308"/>
    <mergeCell ref="A310:A311"/>
    <mergeCell ref="F310:F311"/>
    <mergeCell ref="A293:B294"/>
    <mergeCell ref="F293:F294"/>
    <mergeCell ref="A297:A298"/>
    <mergeCell ref="F297:F298"/>
    <mergeCell ref="A300:A301"/>
    <mergeCell ref="F300:F301"/>
    <mergeCell ref="A284:F284"/>
    <mergeCell ref="B286:F286"/>
    <mergeCell ref="B287:F287"/>
    <mergeCell ref="B288:F288"/>
    <mergeCell ref="B291:F291"/>
    <mergeCell ref="A277:A278"/>
    <mergeCell ref="F277:F278"/>
    <mergeCell ref="A279:A280"/>
    <mergeCell ref="F279:F280"/>
    <mergeCell ref="A281:E281"/>
    <mergeCell ref="F281:F283"/>
    <mergeCell ref="A282:E282"/>
    <mergeCell ref="A283:E283"/>
    <mergeCell ref="A267:A268"/>
    <mergeCell ref="A269:A270"/>
    <mergeCell ref="A272:A273"/>
    <mergeCell ref="F272:F273"/>
    <mergeCell ref="A275:A276"/>
    <mergeCell ref="F275:F276"/>
    <mergeCell ref="A258:B259"/>
    <mergeCell ref="F258:F259"/>
    <mergeCell ref="A262:A263"/>
    <mergeCell ref="F262:F263"/>
    <mergeCell ref="A265:A266"/>
    <mergeCell ref="F265:F266"/>
    <mergeCell ref="A249:F249"/>
    <mergeCell ref="B251:F251"/>
    <mergeCell ref="B252:F252"/>
    <mergeCell ref="B253:F253"/>
    <mergeCell ref="B256:F256"/>
    <mergeCell ref="A242:A243"/>
    <mergeCell ref="F242:F243"/>
    <mergeCell ref="A244:A245"/>
    <mergeCell ref="F244:F245"/>
    <mergeCell ref="A246:E246"/>
    <mergeCell ref="F246:F248"/>
    <mergeCell ref="A247:E247"/>
    <mergeCell ref="A248:E248"/>
    <mergeCell ref="A232:A233"/>
    <mergeCell ref="A234:A235"/>
    <mergeCell ref="A237:A238"/>
    <mergeCell ref="F237:F238"/>
    <mergeCell ref="A240:A241"/>
    <mergeCell ref="F240:F241"/>
    <mergeCell ref="A223:B224"/>
    <mergeCell ref="F223:F224"/>
    <mergeCell ref="A227:A228"/>
    <mergeCell ref="F227:F228"/>
    <mergeCell ref="A230:A231"/>
    <mergeCell ref="F230:F231"/>
    <mergeCell ref="A214:F214"/>
    <mergeCell ref="B216:F216"/>
    <mergeCell ref="B217:F217"/>
    <mergeCell ref="B218:F218"/>
    <mergeCell ref="B221:F221"/>
    <mergeCell ref="A207:A208"/>
    <mergeCell ref="F207:F208"/>
    <mergeCell ref="A209:A210"/>
    <mergeCell ref="F209:F210"/>
    <mergeCell ref="A211:E211"/>
    <mergeCell ref="F211:F213"/>
    <mergeCell ref="A212:E212"/>
    <mergeCell ref="A213:E213"/>
    <mergeCell ref="A197:A198"/>
    <mergeCell ref="A199:A200"/>
    <mergeCell ref="A202:A203"/>
    <mergeCell ref="F202:F203"/>
    <mergeCell ref="A205:A206"/>
    <mergeCell ref="F205:F206"/>
    <mergeCell ref="A188:B189"/>
    <mergeCell ref="F188:F189"/>
    <mergeCell ref="A192:A193"/>
    <mergeCell ref="F192:F193"/>
    <mergeCell ref="A195:A196"/>
    <mergeCell ref="F195:F196"/>
    <mergeCell ref="A179:F179"/>
    <mergeCell ref="B181:F181"/>
    <mergeCell ref="B182:F182"/>
    <mergeCell ref="B183:F183"/>
    <mergeCell ref="B186:F186"/>
    <mergeCell ref="A172:A173"/>
    <mergeCell ref="F172:F173"/>
    <mergeCell ref="A174:A175"/>
    <mergeCell ref="F174:F175"/>
    <mergeCell ref="A176:E176"/>
    <mergeCell ref="F176:F178"/>
    <mergeCell ref="A177:E177"/>
    <mergeCell ref="A178:E178"/>
    <mergeCell ref="A162:A163"/>
    <mergeCell ref="A164:A165"/>
    <mergeCell ref="A167:A168"/>
    <mergeCell ref="F167:F168"/>
    <mergeCell ref="A170:A171"/>
    <mergeCell ref="F170:F171"/>
    <mergeCell ref="A153:B154"/>
    <mergeCell ref="F153:F154"/>
    <mergeCell ref="A157:A158"/>
    <mergeCell ref="F157:F158"/>
    <mergeCell ref="A160:A161"/>
    <mergeCell ref="F160:F161"/>
    <mergeCell ref="A144:F144"/>
    <mergeCell ref="B146:F146"/>
    <mergeCell ref="B147:F147"/>
    <mergeCell ref="B148:F148"/>
    <mergeCell ref="B151:F151"/>
    <mergeCell ref="A137:A138"/>
    <mergeCell ref="F137:F138"/>
    <mergeCell ref="A139:A140"/>
    <mergeCell ref="F139:F140"/>
    <mergeCell ref="A141:E141"/>
    <mergeCell ref="F141:F143"/>
    <mergeCell ref="A142:E142"/>
    <mergeCell ref="A143:E143"/>
    <mergeCell ref="A127:A128"/>
    <mergeCell ref="A129:A130"/>
    <mergeCell ref="A132:A133"/>
    <mergeCell ref="F132:F133"/>
    <mergeCell ref="A135:A136"/>
    <mergeCell ref="F135:F136"/>
    <mergeCell ref="A118:B119"/>
    <mergeCell ref="F118:F119"/>
    <mergeCell ref="A122:A123"/>
    <mergeCell ref="F122:F123"/>
    <mergeCell ref="A125:A126"/>
    <mergeCell ref="F125:F126"/>
    <mergeCell ref="A109:F109"/>
    <mergeCell ref="B111:F111"/>
    <mergeCell ref="B112:F112"/>
    <mergeCell ref="B113:F113"/>
    <mergeCell ref="B116:F116"/>
    <mergeCell ref="A102:A103"/>
    <mergeCell ref="F102:F103"/>
    <mergeCell ref="A104:A105"/>
    <mergeCell ref="F104:F105"/>
    <mergeCell ref="A106:E106"/>
    <mergeCell ref="F106:F108"/>
    <mergeCell ref="A107:E107"/>
    <mergeCell ref="A108:E108"/>
    <mergeCell ref="A92:A93"/>
    <mergeCell ref="A94:A95"/>
    <mergeCell ref="A97:A98"/>
    <mergeCell ref="F97:F98"/>
    <mergeCell ref="A100:A101"/>
    <mergeCell ref="F100:F101"/>
    <mergeCell ref="A83:B84"/>
    <mergeCell ref="F83:F84"/>
    <mergeCell ref="A87:A88"/>
    <mergeCell ref="F87:F88"/>
    <mergeCell ref="A90:A91"/>
    <mergeCell ref="F90:F91"/>
    <mergeCell ref="A74:F74"/>
    <mergeCell ref="B76:F76"/>
    <mergeCell ref="B77:F77"/>
    <mergeCell ref="B78:F78"/>
    <mergeCell ref="B81:F81"/>
    <mergeCell ref="A67:A68"/>
    <mergeCell ref="F67:F68"/>
    <mergeCell ref="A69:A70"/>
    <mergeCell ref="F69:F70"/>
    <mergeCell ref="A71:E71"/>
    <mergeCell ref="F71:F73"/>
    <mergeCell ref="A72:E72"/>
    <mergeCell ref="A73:E73"/>
    <mergeCell ref="A59:A60"/>
    <mergeCell ref="A62:A63"/>
    <mergeCell ref="F62:F63"/>
    <mergeCell ref="A65:A66"/>
    <mergeCell ref="F65:F66"/>
    <mergeCell ref="A27:A28"/>
    <mergeCell ref="F27:F28"/>
    <mergeCell ref="A52:A53"/>
    <mergeCell ref="F52:F53"/>
    <mergeCell ref="A55:A56"/>
    <mergeCell ref="F55:F56"/>
    <mergeCell ref="A57:A58"/>
    <mergeCell ref="B41:F41"/>
    <mergeCell ref="B42:F42"/>
    <mergeCell ref="B43:F43"/>
    <mergeCell ref="B46:F46"/>
    <mergeCell ref="A48:B49"/>
    <mergeCell ref="F48:F49"/>
    <mergeCell ref="A30:A31"/>
    <mergeCell ref="F30:F31"/>
    <mergeCell ref="A32:A33"/>
    <mergeCell ref="F32:F33"/>
    <mergeCell ref="A36:E36"/>
    <mergeCell ref="F36:F38"/>
    <mergeCell ref="A37:E37"/>
    <mergeCell ref="A38:E38"/>
    <mergeCell ref="A39:F39"/>
    <mergeCell ref="A34:A35"/>
    <mergeCell ref="F34:F35"/>
    <mergeCell ref="G4:H4"/>
    <mergeCell ref="A1:E1"/>
    <mergeCell ref="A2:E2"/>
    <mergeCell ref="A3:E3"/>
    <mergeCell ref="A4:F4"/>
    <mergeCell ref="F1:F3"/>
    <mergeCell ref="A24:A25"/>
    <mergeCell ref="B6:F6"/>
    <mergeCell ref="B7:F7"/>
    <mergeCell ref="B8:F8"/>
    <mergeCell ref="B11:F11"/>
    <mergeCell ref="A13:B14"/>
    <mergeCell ref="F13:F14"/>
    <mergeCell ref="A17:A18"/>
    <mergeCell ref="F17:F18"/>
    <mergeCell ref="A20:A21"/>
    <mergeCell ref="F20:F21"/>
    <mergeCell ref="A22:A23"/>
    <mergeCell ref="F22:F23"/>
  </mergeCells>
  <dataValidations count="1">
    <dataValidation type="list" allowBlank="1" showInputMessage="1" showErrorMessage="1" sqref="B8:F8" xr:uid="{00000000-0002-0000-0700-000000000000}">
      <formula1>INDIRECT(SUBSTITUTE(B6," ",""))</formula1>
    </dataValidation>
  </dataValidations>
  <pageMargins left="0.7" right="0.7" top="0.75" bottom="0.75" header="0.3" footer="0.3"/>
  <pageSetup paperSize="8"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B271"/>
  <sheetViews>
    <sheetView workbookViewId="0">
      <selection activeCell="B17" sqref="B17"/>
    </sheetView>
  </sheetViews>
  <sheetFormatPr baseColWidth="10" defaultColWidth="9" defaultRowHeight="14.5" x14ac:dyDescent="0.35"/>
  <cols>
    <col min="1" max="1" width="38.08203125" style="48" customWidth="1"/>
    <col min="2" max="2" width="26.33203125" style="48" customWidth="1"/>
    <col min="3" max="3" width="13.33203125" style="48" customWidth="1"/>
    <col min="4" max="4" width="11.08203125" style="48" customWidth="1"/>
    <col min="5" max="5" width="18.5" style="48" customWidth="1"/>
    <col min="6" max="6" width="9" style="48"/>
    <col min="7" max="7" width="19.08203125" style="48" customWidth="1"/>
    <col min="8" max="16" width="9" style="48"/>
    <col min="22" max="16384" width="9" style="48"/>
  </cols>
  <sheetData>
    <row r="1" spans="1:28" x14ac:dyDescent="0.35">
      <c r="A1" s="89" t="s">
        <v>96</v>
      </c>
      <c r="R1" s="74" t="s">
        <v>118</v>
      </c>
      <c r="X1"/>
      <c r="Y1" s="74" t="s">
        <v>80</v>
      </c>
      <c r="Z1"/>
      <c r="AA1"/>
      <c r="AB1"/>
    </row>
    <row r="2" spans="1:28" x14ac:dyDescent="0.35">
      <c r="A2" s="89" t="s">
        <v>94</v>
      </c>
      <c r="Q2" s="87" t="s">
        <v>27</v>
      </c>
      <c r="R2" s="87" t="s">
        <v>23</v>
      </c>
      <c r="S2" s="87" t="s">
        <v>28</v>
      </c>
      <c r="T2" s="87" t="s">
        <v>25</v>
      </c>
      <c r="U2" s="88"/>
      <c r="X2" s="87" t="s">
        <v>27</v>
      </c>
      <c r="Y2" s="87" t="s">
        <v>23</v>
      </c>
      <c r="Z2" s="87" t="s">
        <v>28</v>
      </c>
      <c r="AA2" s="87" t="s">
        <v>25</v>
      </c>
      <c r="AB2" s="88"/>
    </row>
    <row r="3" spans="1:28" x14ac:dyDescent="0.35">
      <c r="E3" s="48" t="s">
        <v>645</v>
      </c>
      <c r="F3" s="48" t="s">
        <v>689</v>
      </c>
      <c r="Q3" t="str">
        <f t="shared" ref="Q3:Q66" ca="1" si="0">OFFSET($R3,0,LangOffset,1,1)</f>
        <v>Sélectionnez votre lieu géographique…</v>
      </c>
      <c r="R3" s="95" t="s">
        <v>119</v>
      </c>
      <c r="S3" s="105" t="s">
        <v>387</v>
      </c>
      <c r="T3" s="106" t="s">
        <v>443</v>
      </c>
      <c r="U3" s="106"/>
      <c r="X3" t="str">
        <f ca="1">OFFSET($Y3,0,LangOffset,1,1)</f>
        <v>Sélectionner…</v>
      </c>
      <c r="Y3" s="95" t="s">
        <v>90</v>
      </c>
      <c r="Z3" s="106" t="s">
        <v>385</v>
      </c>
      <c r="AA3" s="106" t="s">
        <v>444</v>
      </c>
      <c r="AB3" s="106"/>
    </row>
    <row r="4" spans="1:28" x14ac:dyDescent="0.35">
      <c r="A4" s="51" t="s">
        <v>91</v>
      </c>
      <c r="Q4" t="str">
        <f t="shared" ca="1" si="0"/>
        <v>Afghanistan</v>
      </c>
      <c r="R4" s="277" t="s">
        <v>120</v>
      </c>
      <c r="S4" s="93" t="s">
        <v>120</v>
      </c>
      <c r="T4" t="s">
        <v>873</v>
      </c>
      <c r="X4" t="str">
        <f ca="1">OFFSET($Y4,0,LangOffset,1,1)</f>
        <v>ICN</v>
      </c>
      <c r="Y4" s="95" t="s">
        <v>317</v>
      </c>
      <c r="Z4" s="106" t="s">
        <v>388</v>
      </c>
      <c r="AA4" s="106" t="s">
        <v>445</v>
      </c>
      <c r="AB4" s="106"/>
    </row>
    <row r="5" spans="1:28" x14ac:dyDescent="0.35">
      <c r="A5" s="87" t="s">
        <v>27</v>
      </c>
      <c r="B5" s="87"/>
      <c r="C5" s="87" t="s">
        <v>23</v>
      </c>
      <c r="D5" s="87" t="s">
        <v>28</v>
      </c>
      <c r="E5" s="87" t="s">
        <v>25</v>
      </c>
      <c r="F5" s="88"/>
      <c r="G5" s="87" t="s">
        <v>23</v>
      </c>
      <c r="H5" s="87" t="s">
        <v>28</v>
      </c>
      <c r="I5" s="87" t="s">
        <v>25</v>
      </c>
      <c r="J5" s="88"/>
      <c r="Q5" t="str">
        <f t="shared" ca="1" si="0"/>
        <v>Albanie</v>
      </c>
      <c r="R5" s="277" t="s">
        <v>121</v>
      </c>
      <c r="S5" s="93" t="s">
        <v>874</v>
      </c>
      <c r="T5" t="s">
        <v>121</v>
      </c>
      <c r="X5" t="str">
        <f ca="1">OFFSET($Y5,0,LangOffset,1,1)</f>
        <v>non ICN</v>
      </c>
      <c r="Y5" s="95" t="s">
        <v>318</v>
      </c>
      <c r="Z5" s="106" t="s">
        <v>389</v>
      </c>
      <c r="AA5" s="106" t="s">
        <v>446</v>
      </c>
      <c r="AB5" s="106"/>
    </row>
    <row r="6" spans="1:28" x14ac:dyDescent="0.35">
      <c r="A6" s="212" t="str">
        <f t="shared" ref="A6:A16" ca="1" si="1">OFFSET($C6,0,LangOffset,1,1)</f>
        <v>Sélectionner…</v>
      </c>
      <c r="B6" s="212">
        <f t="shared" ref="B6:B16" ca="1" si="2">OFFSET($G6,0,LangOffset,1,1)</f>
        <v>0</v>
      </c>
      <c r="C6" s="212" t="s">
        <v>90</v>
      </c>
      <c r="D6" s="212" t="s">
        <v>619</v>
      </c>
      <c r="E6" s="212" t="s">
        <v>444</v>
      </c>
      <c r="F6" s="212"/>
      <c r="G6" s="212" t="s">
        <v>92</v>
      </c>
      <c r="H6" s="212"/>
      <c r="I6" s="212"/>
      <c r="J6" s="212"/>
      <c r="K6" s="212"/>
      <c r="L6" s="212"/>
      <c r="M6" s="212"/>
      <c r="N6" s="212"/>
      <c r="O6" s="212"/>
      <c r="P6" s="212"/>
      <c r="Q6" s="214" t="str">
        <f t="shared" ca="1" si="0"/>
        <v>Algérie</v>
      </c>
      <c r="R6" s="277" t="s">
        <v>122</v>
      </c>
      <c r="S6" s="93" t="s">
        <v>875</v>
      </c>
      <c r="T6" t="s">
        <v>876</v>
      </c>
    </row>
    <row r="7" spans="1:28" x14ac:dyDescent="0.35">
      <c r="A7" s="212" t="str">
        <f t="shared" ca="1" si="1"/>
        <v>Traitement prise en charge et soutien_Prestation de services et prise en charge différenciées pour les traitements antirétroviraux</v>
      </c>
      <c r="B7" s="212" t="str">
        <f t="shared" ca="1" si="2"/>
        <v>Pourcentage de personnes vivant avec le VIH bénéficiant actuellement d'un traitement antirétroviral</v>
      </c>
      <c r="C7" s="213" t="s">
        <v>634</v>
      </c>
      <c r="D7" s="252" t="s">
        <v>871</v>
      </c>
      <c r="E7" s="243" t="s">
        <v>736</v>
      </c>
      <c r="F7" s="212"/>
      <c r="G7" s="212" t="s">
        <v>113</v>
      </c>
      <c r="H7" s="215" t="s">
        <v>620</v>
      </c>
      <c r="I7" s="212" t="s">
        <v>621</v>
      </c>
      <c r="J7" s="212"/>
      <c r="K7" s="212"/>
      <c r="L7" s="212"/>
      <c r="M7" s="212"/>
      <c r="N7" s="212"/>
      <c r="O7" s="212"/>
      <c r="P7" s="212"/>
      <c r="Q7" s="214" t="str">
        <f t="shared" ca="1" si="0"/>
        <v>Andorre</v>
      </c>
      <c r="R7" s="277" t="s">
        <v>123</v>
      </c>
      <c r="S7" s="93" t="s">
        <v>877</v>
      </c>
      <c r="T7" t="s">
        <v>123</v>
      </c>
    </row>
    <row r="8" spans="1:28" x14ac:dyDescent="0.35">
      <c r="A8" s="212" t="str">
        <f t="shared" ca="1" si="1"/>
        <v>PTME</v>
      </c>
      <c r="B8" s="212" t="str">
        <f t="shared" ca="1" si="2"/>
        <v>Pourcentage de femmes enceintes séropositives au VIH ayant reçu des antirétroviraux durant leur grossesse</v>
      </c>
      <c r="C8" s="212" t="s">
        <v>64</v>
      </c>
      <c r="D8" s="212" t="s">
        <v>622</v>
      </c>
      <c r="E8" s="212" t="s">
        <v>63</v>
      </c>
      <c r="F8" s="212"/>
      <c r="G8" s="212" t="s">
        <v>83</v>
      </c>
      <c r="H8" s="215" t="s">
        <v>623</v>
      </c>
      <c r="I8" s="212" t="s">
        <v>624</v>
      </c>
      <c r="J8" s="212"/>
      <c r="K8" s="212"/>
      <c r="L8" s="212"/>
      <c r="M8" s="212"/>
      <c r="N8" s="212"/>
      <c r="O8" s="212"/>
      <c r="P8" s="212"/>
      <c r="Q8" s="214" t="str">
        <f t="shared" ca="1" si="0"/>
        <v>Angola</v>
      </c>
      <c r="R8" s="277" t="s">
        <v>124</v>
      </c>
      <c r="S8" s="93" t="s">
        <v>124</v>
      </c>
      <c r="T8" t="s">
        <v>124</v>
      </c>
    </row>
    <row r="9" spans="1:28" x14ac:dyDescent="0.35">
      <c r="A9" s="212" t="str">
        <f t="shared" ca="1" si="1"/>
        <v>Tuberculose et VIH - Dépistage de la tuberculose parmi les patients atteints du VIH</v>
      </c>
      <c r="B9" s="212" t="str">
        <f ca="1">OFFSET($G9,0,LangOffset,1,1)</f>
        <v xml:space="preserve">Pourcentage de personnes vivant avec le VIH ayant nouvellement initié la TARV et chez qui les signes de la tuberculose ont été recherchés </v>
      </c>
      <c r="C9" s="213" t="s">
        <v>668</v>
      </c>
      <c r="D9" s="215" t="s">
        <v>724</v>
      </c>
      <c r="E9" s="212" t="s">
        <v>1139</v>
      </c>
      <c r="F9" s="212"/>
      <c r="G9" s="212" t="s">
        <v>1140</v>
      </c>
      <c r="H9" s="274" t="s">
        <v>1141</v>
      </c>
      <c r="I9" s="212" t="s">
        <v>1142</v>
      </c>
      <c r="J9" s="212"/>
      <c r="K9" s="212"/>
      <c r="L9" s="212"/>
      <c r="M9" s="212"/>
      <c r="N9" s="212"/>
      <c r="O9" s="212"/>
      <c r="P9" s="212"/>
      <c r="Q9" s="214" t="str">
        <f t="shared" ca="1" si="0"/>
        <v>Antigua-et-Barbuda</v>
      </c>
      <c r="R9" s="277" t="s">
        <v>125</v>
      </c>
      <c r="S9" s="93" t="s">
        <v>878</v>
      </c>
      <c r="T9" t="s">
        <v>879</v>
      </c>
    </row>
    <row r="10" spans="1:28" x14ac:dyDescent="0.35">
      <c r="A10" s="212" t="str">
        <f t="shared" ca="1" si="1"/>
        <v>Patients tuberculeux dont le statut sérologique vis.à.vis du VIH est connu</v>
      </c>
      <c r="B10" s="212" t="str">
        <f t="shared" ca="1" si="2"/>
        <v>Pourcentage de nouveaux patients tuberculeux et de rechutes, séropositifs au VIH, sous traitement antirétroviral au cours du traitement de la tuberculose</v>
      </c>
      <c r="C10" s="213" t="s">
        <v>674</v>
      </c>
      <c r="D10" s="215" t="s">
        <v>728</v>
      </c>
      <c r="E10" s="212" t="s">
        <v>730</v>
      </c>
      <c r="F10" s="212"/>
      <c r="G10" s="212" t="s">
        <v>465</v>
      </c>
      <c r="H10" s="215" t="s">
        <v>466</v>
      </c>
      <c r="I10" s="212" t="s">
        <v>467</v>
      </c>
      <c r="J10" s="212"/>
      <c r="K10" s="212"/>
      <c r="L10" s="212"/>
      <c r="M10" s="212"/>
      <c r="N10" s="212"/>
      <c r="O10" s="212"/>
      <c r="P10" s="212"/>
      <c r="Q10" s="214" t="str">
        <f t="shared" ca="1" si="0"/>
        <v>Argentine</v>
      </c>
      <c r="R10" s="277" t="s">
        <v>126</v>
      </c>
      <c r="S10" s="93" t="s">
        <v>880</v>
      </c>
      <c r="T10" t="s">
        <v>126</v>
      </c>
    </row>
    <row r="11" spans="1:28" x14ac:dyDescent="0.35">
      <c r="A11" s="212" t="str">
        <f t="shared" ca="1" si="1"/>
        <v>Patients tuberculeux séropositifs au VIH sous TAR</v>
      </c>
      <c r="B11" s="212" t="str">
        <f t="shared" ca="1" si="2"/>
        <v>Proportion de patients tuberculeux (nouveaux cas et récidives) séropositifs au VIH sous traitement antirétroviral pendant leur traitement antituberculeux</v>
      </c>
      <c r="C11" s="213" t="s">
        <v>675</v>
      </c>
      <c r="D11" s="215" t="s">
        <v>729</v>
      </c>
      <c r="E11" s="212" t="s">
        <v>731</v>
      </c>
      <c r="F11" s="212"/>
      <c r="G11" s="212" t="s">
        <v>84</v>
      </c>
      <c r="H11" s="212" t="s">
        <v>625</v>
      </c>
      <c r="I11" s="212" t="s">
        <v>626</v>
      </c>
      <c r="J11" s="212"/>
      <c r="K11" s="212"/>
      <c r="L11" s="212"/>
      <c r="M11" s="212"/>
      <c r="N11" s="212"/>
      <c r="O11" s="212"/>
      <c r="P11" s="212"/>
      <c r="Q11" s="214" t="str">
        <f t="shared" ca="1" si="0"/>
        <v>Arménie</v>
      </c>
      <c r="R11" s="277" t="s">
        <v>127</v>
      </c>
      <c r="S11" s="93" t="s">
        <v>881</v>
      </c>
      <c r="T11" t="s">
        <v>127</v>
      </c>
    </row>
    <row r="12" spans="1:28" x14ac:dyDescent="0.35">
      <c r="A12" s="212" t="str">
        <f t="shared" ca="1" si="1"/>
        <v xml:space="preserve">Initiation du traitement préventif de la tuberculose pour les PVVIH </v>
      </c>
      <c r="B12" s="212" t="str">
        <f t="shared" ca="1" si="2"/>
        <v xml:space="preserve">Pourcentage de PVVIH sous traitement antirétroviral qui ont commencé la thérapie préventive de la tuberculose parmi ceux éligibles durant la période de rapportage </v>
      </c>
      <c r="C12" s="213" t="s">
        <v>850</v>
      </c>
      <c r="D12" s="274" t="s">
        <v>870</v>
      </c>
      <c r="E12" s="212" t="s">
        <v>866</v>
      </c>
      <c r="F12" s="212"/>
      <c r="G12" s="276" t="s">
        <v>851</v>
      </c>
      <c r="H12" s="212" t="s">
        <v>859</v>
      </c>
      <c r="I12" s="212" t="s">
        <v>867</v>
      </c>
      <c r="J12" s="212"/>
      <c r="K12" s="212"/>
      <c r="L12" s="212"/>
      <c r="M12" s="212"/>
      <c r="N12" s="212"/>
      <c r="O12" s="212"/>
      <c r="P12" s="212"/>
      <c r="Q12" s="214" t="str">
        <f t="shared" ca="1" si="0"/>
        <v>Aruba</v>
      </c>
      <c r="R12" s="277" t="s">
        <v>128</v>
      </c>
      <c r="S12" s="93" t="s">
        <v>128</v>
      </c>
      <c r="T12" t="s">
        <v>128</v>
      </c>
    </row>
    <row r="13" spans="1:28" x14ac:dyDescent="0.35">
      <c r="A13" s="212" t="str">
        <f t="shared" ca="1" si="1"/>
        <v>Programmes de prévention pour les populations clés_Paquet de services définis</v>
      </c>
      <c r="B13" s="212" t="str">
        <f t="shared" ca="1" si="2"/>
        <v>Pourcentage de personnes appartenant aux populations clés atteintes par des programmes de prévention - paquet de services définis</v>
      </c>
      <c r="C13" s="212" t="s">
        <v>100</v>
      </c>
      <c r="D13" s="215" t="s">
        <v>627</v>
      </c>
      <c r="E13" s="212" t="s">
        <v>448</v>
      </c>
      <c r="F13" s="212"/>
      <c r="G13" s="212" t="s">
        <v>85</v>
      </c>
      <c r="H13" s="215" t="s">
        <v>628</v>
      </c>
      <c r="I13" s="212" t="s">
        <v>449</v>
      </c>
      <c r="J13" s="212"/>
      <c r="K13" s="212"/>
      <c r="L13" s="212"/>
      <c r="M13" s="212"/>
      <c r="N13" s="212"/>
      <c r="O13" s="212"/>
      <c r="P13" s="212"/>
      <c r="Q13" s="214" t="str">
        <f t="shared" ca="1" si="0"/>
        <v>Australie</v>
      </c>
      <c r="R13" s="277" t="s">
        <v>129</v>
      </c>
      <c r="S13" s="93" t="s">
        <v>882</v>
      </c>
      <c r="T13" t="s">
        <v>129</v>
      </c>
    </row>
    <row r="14" spans="1:28" x14ac:dyDescent="0.35">
      <c r="A14" s="212" t="str">
        <f t="shared" ca="1" si="1"/>
        <v>Services de dépistage différenciés du VIH</v>
      </c>
      <c r="B14" s="212" t="str">
        <f t="shared" ca="1" si="2"/>
        <v xml:space="preserve">Pourcentage de personnes appartenant aux populations clés, qui ont effectué un test de dépistage du VIH pendant la période de communication de l'information et qui en connaissent le résultat </v>
      </c>
      <c r="C14" s="213" t="s">
        <v>647</v>
      </c>
      <c r="D14" s="253" t="s">
        <v>777</v>
      </c>
      <c r="E14" s="242" t="s">
        <v>735</v>
      </c>
      <c r="F14" s="212"/>
      <c r="G14" s="212" t="s">
        <v>115</v>
      </c>
      <c r="H14" s="212" t="s">
        <v>629</v>
      </c>
      <c r="I14" s="212" t="s">
        <v>450</v>
      </c>
      <c r="J14" s="212"/>
      <c r="K14" s="212"/>
      <c r="L14" s="212"/>
      <c r="M14" s="212"/>
      <c r="N14" s="212"/>
      <c r="O14" s="212"/>
      <c r="P14" s="212"/>
      <c r="Q14" s="214" t="str">
        <f t="shared" ca="1" si="0"/>
        <v>Autriche</v>
      </c>
      <c r="R14" s="277" t="s">
        <v>130</v>
      </c>
      <c r="S14" s="93" t="s">
        <v>883</v>
      </c>
      <c r="T14" t="s">
        <v>130</v>
      </c>
    </row>
    <row r="15" spans="1:28" x14ac:dyDescent="0.35">
      <c r="A15" s="212" t="str">
        <f t="shared" ca="1" si="1"/>
        <v>Programmes de prévention destinés aux usagers de drogues injectables et à leurs partenaires_Programmes liés aux aiguilles et de seringues</v>
      </c>
      <c r="B15" s="212" t="str">
        <f t="shared" ca="1" si="2"/>
        <v xml:space="preserve">Pourcentage de personnes qui s'injectent des drogues bénéficiant de programmes de distribution d'aiguilles et de seringues </v>
      </c>
      <c r="C15" s="212" t="s">
        <v>102</v>
      </c>
      <c r="D15" s="274" t="s">
        <v>630</v>
      </c>
      <c r="E15" s="212" t="s">
        <v>631</v>
      </c>
      <c r="F15" s="212"/>
      <c r="G15" s="212" t="s">
        <v>86</v>
      </c>
      <c r="H15" s="270" t="s">
        <v>840</v>
      </c>
      <c r="I15" s="212" t="s">
        <v>452</v>
      </c>
      <c r="J15" s="212"/>
      <c r="K15" s="212"/>
      <c r="L15" s="212"/>
      <c r="M15" s="212"/>
      <c r="N15" s="212"/>
      <c r="O15" s="212"/>
      <c r="P15" s="212"/>
      <c r="Q15" s="214" t="str">
        <f t="shared" ca="1" si="0"/>
        <v>Azerbaïdjan</v>
      </c>
      <c r="R15" s="277" t="s">
        <v>131</v>
      </c>
      <c r="S15" s="93" t="s">
        <v>884</v>
      </c>
      <c r="T15" t="s">
        <v>885</v>
      </c>
    </row>
    <row r="16" spans="1:28" x14ac:dyDescent="0.35">
      <c r="A16" s="212" t="str">
        <f t="shared" ca="1" si="1"/>
        <v>Programmes de prévention destinés aux usagers de drogues injectables et à leurs partenaires_Traitements de substitution aux opiacés et autres traitements de la dépendance pour les usagers de drogues injectables</v>
      </c>
      <c r="B16" s="212" t="str">
        <f t="shared" ca="1" si="2"/>
        <v xml:space="preserve">Pourcentage de personnes qui s'injectent des drogues suivant un traitement de substitution aux opiacés </v>
      </c>
      <c r="C16" s="212" t="s">
        <v>112</v>
      </c>
      <c r="D16" s="274" t="s">
        <v>632</v>
      </c>
      <c r="E16" s="212" t="s">
        <v>633</v>
      </c>
      <c r="F16" s="212"/>
      <c r="G16" s="212" t="s">
        <v>87</v>
      </c>
      <c r="H16" s="270" t="s">
        <v>839</v>
      </c>
      <c r="I16" s="212" t="s">
        <v>454</v>
      </c>
      <c r="J16" s="212"/>
      <c r="K16" s="212"/>
      <c r="L16" s="212"/>
      <c r="M16" s="212"/>
      <c r="N16" s="212"/>
      <c r="O16" s="212"/>
      <c r="P16" s="212"/>
      <c r="Q16" t="str">
        <f t="shared" ca="1" si="0"/>
        <v>Bahamas</v>
      </c>
      <c r="R16" s="277" t="s">
        <v>132</v>
      </c>
      <c r="S16" s="93" t="s">
        <v>132</v>
      </c>
      <c r="T16" t="s">
        <v>886</v>
      </c>
    </row>
    <row r="17" spans="1:20" x14ac:dyDescent="0.35">
      <c r="Q17" t="str">
        <f t="shared" ca="1" si="0"/>
        <v>Bahreïn</v>
      </c>
      <c r="R17" s="277" t="s">
        <v>133</v>
      </c>
      <c r="S17" s="93" t="s">
        <v>887</v>
      </c>
      <c r="T17" t="s">
        <v>888</v>
      </c>
    </row>
    <row r="18" spans="1:20" x14ac:dyDescent="0.35">
      <c r="A18" s="87" t="s">
        <v>27</v>
      </c>
      <c r="B18" s="87" t="s">
        <v>23</v>
      </c>
      <c r="C18" s="87" t="s">
        <v>28</v>
      </c>
      <c r="D18" s="87" t="s">
        <v>25</v>
      </c>
      <c r="E18" s="88"/>
      <c r="Q18" t="str">
        <f t="shared" ca="1" si="0"/>
        <v>Bangladesh</v>
      </c>
      <c r="R18" s="277" t="s">
        <v>134</v>
      </c>
      <c r="S18" s="93" t="s">
        <v>134</v>
      </c>
      <c r="T18" t="s">
        <v>134</v>
      </c>
    </row>
    <row r="19" spans="1:20" x14ac:dyDescent="0.35">
      <c r="B19" s="81" t="str">
        <f>C7</f>
        <v>Treatment Care and Support_Differentiated ART Service Delivery and care</v>
      </c>
      <c r="C19" s="81" t="str">
        <f>D7</f>
        <v>Traitement prise en charge et soutien_Prestation de services et prise en charge différenciées pour les traitements antirétroviraux</v>
      </c>
      <c r="D19" s="81" t="str">
        <f>E7</f>
        <v>Tratamiento atención y apoyo_Prestación de servicios diferenciados atención y tratamiento antirretroviral</v>
      </c>
      <c r="E19" s="99"/>
      <c r="Q19" t="str">
        <f t="shared" ca="1" si="0"/>
        <v>Barbade</v>
      </c>
      <c r="R19" s="277" t="s">
        <v>135</v>
      </c>
      <c r="S19" s="93" t="s">
        <v>889</v>
      </c>
      <c r="T19" t="s">
        <v>135</v>
      </c>
    </row>
    <row r="20" spans="1:20" x14ac:dyDescent="0.35">
      <c r="B20" s="213" t="s">
        <v>642</v>
      </c>
      <c r="C20" s="242" t="s">
        <v>778</v>
      </c>
      <c r="D20" s="242" t="s">
        <v>732</v>
      </c>
      <c r="E20" s="103"/>
      <c r="F20" s="101"/>
      <c r="G20" s="101"/>
      <c r="H20" s="101"/>
      <c r="I20" s="101"/>
      <c r="Q20" t="str">
        <f t="shared" ca="1" si="0"/>
        <v>Biélorussie</v>
      </c>
      <c r="R20" s="277" t="s">
        <v>136</v>
      </c>
      <c r="S20" s="93" t="s">
        <v>890</v>
      </c>
      <c r="T20" t="s">
        <v>891</v>
      </c>
    </row>
    <row r="21" spans="1:20" x14ac:dyDescent="0.35">
      <c r="B21" s="213" t="s">
        <v>643</v>
      </c>
      <c r="C21" s="242" t="s">
        <v>1143</v>
      </c>
      <c r="D21" s="242" t="s">
        <v>733</v>
      </c>
      <c r="E21" s="103"/>
      <c r="F21" s="101"/>
      <c r="G21" s="101"/>
      <c r="H21" s="101"/>
      <c r="I21" s="101"/>
      <c r="Q21" t="str">
        <f t="shared" ca="1" si="0"/>
        <v>Belgique</v>
      </c>
      <c r="R21" s="277" t="s">
        <v>137</v>
      </c>
      <c r="S21" s="93" t="s">
        <v>892</v>
      </c>
      <c r="T21" t="s">
        <v>893</v>
      </c>
    </row>
    <row r="22" spans="1:20" x14ac:dyDescent="0.35">
      <c r="B22" s="213" t="s">
        <v>678</v>
      </c>
      <c r="C22" s="242" t="s">
        <v>779</v>
      </c>
      <c r="D22" s="242" t="s">
        <v>734</v>
      </c>
      <c r="E22" s="103"/>
      <c r="F22" s="101"/>
      <c r="G22" s="101"/>
      <c r="H22" s="101"/>
      <c r="I22" s="101"/>
      <c r="Q22" t="str">
        <f t="shared" ca="1" si="0"/>
        <v>Belize</v>
      </c>
      <c r="R22" s="277" t="s">
        <v>138</v>
      </c>
      <c r="S22" s="93" t="s">
        <v>138</v>
      </c>
      <c r="T22" t="s">
        <v>894</v>
      </c>
    </row>
    <row r="23" spans="1:20" x14ac:dyDescent="0.35">
      <c r="B23" s="101"/>
      <c r="C23" s="92"/>
      <c r="D23" s="103"/>
      <c r="E23" s="101"/>
      <c r="F23" s="101"/>
      <c r="G23" s="101"/>
      <c r="H23" s="101"/>
      <c r="I23" s="101"/>
      <c r="Q23" t="str">
        <f t="shared" ca="1" si="0"/>
        <v>Bénin</v>
      </c>
      <c r="R23" s="277" t="s">
        <v>139</v>
      </c>
      <c r="S23" s="93" t="s">
        <v>895</v>
      </c>
      <c r="T23" t="s">
        <v>139</v>
      </c>
    </row>
    <row r="24" spans="1:20" x14ac:dyDescent="0.35">
      <c r="B24" s="74" t="s">
        <v>64</v>
      </c>
      <c r="C24" s="74" t="s">
        <v>373</v>
      </c>
      <c r="D24" s="74" t="s">
        <v>63</v>
      </c>
      <c r="E24" s="216"/>
      <c r="F24" s="101"/>
      <c r="G24" s="101"/>
      <c r="H24" s="101"/>
      <c r="I24" s="101"/>
      <c r="Q24" t="str">
        <f t="shared" ca="1" si="0"/>
        <v>Bhoutan</v>
      </c>
      <c r="R24" s="277" t="s">
        <v>140</v>
      </c>
      <c r="S24" s="93" t="s">
        <v>896</v>
      </c>
      <c r="T24" t="s">
        <v>897</v>
      </c>
    </row>
    <row r="25" spans="1:20" x14ac:dyDescent="0.35">
      <c r="B25" s="100" t="s">
        <v>95</v>
      </c>
      <c r="C25" s="92" t="s">
        <v>374</v>
      </c>
      <c r="D25" s="103" t="s">
        <v>455</v>
      </c>
      <c r="E25" s="103"/>
      <c r="F25" s="101"/>
      <c r="G25" s="101"/>
      <c r="H25" s="101"/>
      <c r="I25" s="101"/>
      <c r="Q25" t="str">
        <f t="shared" ca="1" si="0"/>
        <v>Bolivie (Etat Plurinational)</v>
      </c>
      <c r="R25" s="277" t="s">
        <v>141</v>
      </c>
      <c r="S25" s="93" t="s">
        <v>898</v>
      </c>
      <c r="T25" t="s">
        <v>899</v>
      </c>
    </row>
    <row r="26" spans="1:20" x14ac:dyDescent="0.35">
      <c r="B26" s="101"/>
      <c r="C26" s="92"/>
      <c r="D26" s="103"/>
      <c r="E26" s="101"/>
      <c r="F26" s="101"/>
      <c r="G26" s="101"/>
      <c r="H26" s="101"/>
      <c r="I26" s="101"/>
      <c r="Q26" t="str">
        <f t="shared" ca="1" si="0"/>
        <v>Bosnie-Herzégovine</v>
      </c>
      <c r="R26" s="277" t="s">
        <v>142</v>
      </c>
      <c r="S26" s="93" t="s">
        <v>900</v>
      </c>
      <c r="T26" t="s">
        <v>901</v>
      </c>
    </row>
    <row r="27" spans="1:20" x14ac:dyDescent="0.35">
      <c r="B27" s="74" t="s">
        <v>97</v>
      </c>
      <c r="C27" s="264" t="s">
        <v>869</v>
      </c>
      <c r="D27" s="74" t="s">
        <v>447</v>
      </c>
      <c r="E27" s="216"/>
      <c r="F27" s="101"/>
      <c r="G27" s="101"/>
      <c r="H27" s="101"/>
      <c r="I27" s="101"/>
      <c r="Q27" t="str">
        <f t="shared" ca="1" si="0"/>
        <v>Botswana</v>
      </c>
      <c r="R27" s="277" t="s">
        <v>143</v>
      </c>
      <c r="S27" s="93" t="s">
        <v>143</v>
      </c>
      <c r="T27" t="s">
        <v>143</v>
      </c>
    </row>
    <row r="28" spans="1:20" x14ac:dyDescent="0.35">
      <c r="B28" s="213" t="s">
        <v>652</v>
      </c>
      <c r="C28" s="253" t="s">
        <v>780</v>
      </c>
      <c r="D28" s="242" t="s">
        <v>775</v>
      </c>
      <c r="E28" s="103"/>
      <c r="F28" s="101"/>
      <c r="G28" s="101"/>
      <c r="H28" s="101"/>
      <c r="I28" s="101"/>
      <c r="Q28" t="str">
        <f t="shared" ca="1" si="0"/>
        <v>Brésil</v>
      </c>
      <c r="R28" s="277" t="s">
        <v>144</v>
      </c>
      <c r="S28" s="93" t="s">
        <v>902</v>
      </c>
      <c r="T28" t="s">
        <v>903</v>
      </c>
    </row>
    <row r="29" spans="1:20" x14ac:dyDescent="0.35">
      <c r="B29" s="101"/>
      <c r="C29" s="92"/>
      <c r="D29" s="103"/>
      <c r="E29" s="103"/>
      <c r="F29" s="101"/>
      <c r="G29" s="101"/>
      <c r="H29" s="101"/>
      <c r="I29" s="101"/>
      <c r="Q29" t="str">
        <f t="shared" ca="1" si="0"/>
        <v>Brunéi Darussalam</v>
      </c>
      <c r="R29" s="277" t="s">
        <v>145</v>
      </c>
      <c r="S29" s="93" t="s">
        <v>904</v>
      </c>
      <c r="T29" t="s">
        <v>145</v>
      </c>
    </row>
    <row r="30" spans="1:20" x14ac:dyDescent="0.35">
      <c r="B30" s="74" t="s">
        <v>98</v>
      </c>
      <c r="C30" s="74" t="s">
        <v>375</v>
      </c>
      <c r="D30" s="74" t="s">
        <v>456</v>
      </c>
      <c r="E30" s="216"/>
      <c r="F30" s="101"/>
      <c r="G30" s="101"/>
      <c r="H30" s="101"/>
      <c r="I30" s="101"/>
      <c r="Q30" t="str">
        <f t="shared" ca="1" si="0"/>
        <v>Bulgarie</v>
      </c>
      <c r="R30" s="277" t="s">
        <v>146</v>
      </c>
      <c r="S30" s="93" t="s">
        <v>905</v>
      </c>
      <c r="T30" t="s">
        <v>146</v>
      </c>
    </row>
    <row r="31" spans="1:20" x14ac:dyDescent="0.35">
      <c r="B31" s="213" t="s">
        <v>652</v>
      </c>
      <c r="C31" s="253" t="s">
        <v>780</v>
      </c>
      <c r="D31" s="242" t="s">
        <v>775</v>
      </c>
      <c r="E31" s="103"/>
      <c r="F31" s="101"/>
      <c r="G31" s="101"/>
      <c r="H31" s="101"/>
      <c r="I31" s="101"/>
      <c r="Q31" t="str">
        <f t="shared" ca="1" si="0"/>
        <v>Burkina Faso</v>
      </c>
      <c r="R31" s="277" t="s">
        <v>147</v>
      </c>
      <c r="S31" s="93" t="s">
        <v>147</v>
      </c>
      <c r="T31" t="s">
        <v>147</v>
      </c>
    </row>
    <row r="32" spans="1:20" x14ac:dyDescent="0.35">
      <c r="B32" s="101"/>
      <c r="C32" s="92"/>
      <c r="D32" s="103"/>
      <c r="E32" s="103"/>
      <c r="F32" s="101"/>
      <c r="G32" s="101"/>
      <c r="H32" s="101"/>
      <c r="I32" s="101"/>
      <c r="Q32" t="str">
        <f t="shared" ca="1" si="0"/>
        <v>Burundi</v>
      </c>
      <c r="R32" s="277" t="s">
        <v>148</v>
      </c>
      <c r="S32" s="93" t="s">
        <v>148</v>
      </c>
      <c r="T32" t="s">
        <v>148</v>
      </c>
    </row>
    <row r="33" spans="1:20" x14ac:dyDescent="0.35">
      <c r="B33" s="74" t="s">
        <v>99</v>
      </c>
      <c r="C33" s="264" t="s">
        <v>857</v>
      </c>
      <c r="D33" s="74" t="s">
        <v>457</v>
      </c>
      <c r="E33" s="216"/>
      <c r="F33" s="101"/>
      <c r="G33" s="101"/>
      <c r="H33" s="101"/>
      <c r="I33" s="101"/>
      <c r="Q33" t="str">
        <f t="shared" ca="1" si="0"/>
        <v>Cabo Verde</v>
      </c>
      <c r="R33" s="277" t="s">
        <v>906</v>
      </c>
      <c r="S33" s="93" t="s">
        <v>906</v>
      </c>
      <c r="T33" t="s">
        <v>906</v>
      </c>
    </row>
    <row r="34" spans="1:20" x14ac:dyDescent="0.35">
      <c r="B34" s="213" t="s">
        <v>652</v>
      </c>
      <c r="C34" s="253" t="s">
        <v>780</v>
      </c>
      <c r="D34" s="242" t="s">
        <v>775</v>
      </c>
      <c r="E34" s="103"/>
      <c r="F34" s="101"/>
      <c r="G34" s="217" t="s">
        <v>519</v>
      </c>
      <c r="H34" s="101"/>
      <c r="I34" s="101"/>
      <c r="Q34" t="str">
        <f t="shared" ca="1" si="0"/>
        <v>Cambodge</v>
      </c>
      <c r="R34" s="277" t="s">
        <v>149</v>
      </c>
      <c r="S34" s="93" t="s">
        <v>907</v>
      </c>
      <c r="T34" t="s">
        <v>908</v>
      </c>
    </row>
    <row r="35" spans="1:20" x14ac:dyDescent="0.35">
      <c r="B35" s="101"/>
      <c r="C35" s="92"/>
      <c r="D35" s="103"/>
      <c r="E35" s="103"/>
      <c r="F35" s="101"/>
      <c r="G35" s="217" t="s">
        <v>518</v>
      </c>
      <c r="H35" s="101"/>
      <c r="I35" s="102"/>
      <c r="Q35" t="str">
        <f t="shared" ca="1" si="0"/>
        <v>Cameroun</v>
      </c>
      <c r="R35" s="277" t="s">
        <v>150</v>
      </c>
      <c r="S35" s="93" t="s">
        <v>909</v>
      </c>
      <c r="T35" t="s">
        <v>910</v>
      </c>
    </row>
    <row r="36" spans="1:20" x14ac:dyDescent="0.35">
      <c r="B36" s="74" t="s">
        <v>852</v>
      </c>
      <c r="C36" s="74" t="s">
        <v>858</v>
      </c>
      <c r="D36" s="74" t="s">
        <v>868</v>
      </c>
      <c r="E36" s="216"/>
      <c r="F36" s="101"/>
      <c r="G36" s="217"/>
      <c r="H36" s="101"/>
      <c r="I36" s="102"/>
      <c r="Q36" t="str">
        <f t="shared" ca="1" si="0"/>
        <v>Canada</v>
      </c>
      <c r="R36" s="277" t="s">
        <v>151</v>
      </c>
      <c r="S36" s="93" t="s">
        <v>151</v>
      </c>
      <c r="T36" t="s">
        <v>911</v>
      </c>
    </row>
    <row r="37" spans="1:20" x14ac:dyDescent="0.35">
      <c r="B37" s="213" t="s">
        <v>652</v>
      </c>
      <c r="C37" s="253" t="s">
        <v>780</v>
      </c>
      <c r="D37" s="242" t="s">
        <v>775</v>
      </c>
      <c r="E37" s="103"/>
      <c r="F37" s="101"/>
      <c r="G37" s="217"/>
      <c r="H37" s="101"/>
      <c r="I37" s="102"/>
      <c r="Q37" t="str">
        <f t="shared" ca="1" si="0"/>
        <v>République centrafricaine</v>
      </c>
      <c r="R37" s="277" t="s">
        <v>152</v>
      </c>
      <c r="S37" s="93" t="s">
        <v>912</v>
      </c>
      <c r="T37" t="s">
        <v>913</v>
      </c>
    </row>
    <row r="38" spans="1:20" x14ac:dyDescent="0.35">
      <c r="B38" s="281"/>
      <c r="C38" s="282"/>
      <c r="D38" s="282"/>
      <c r="E38" s="103"/>
      <c r="F38" s="101"/>
      <c r="G38" s="217"/>
      <c r="H38" s="101"/>
      <c r="I38" s="102"/>
      <c r="Q38" t="str">
        <f t="shared" ca="1" si="0"/>
        <v>Tchad</v>
      </c>
      <c r="R38" s="277" t="s">
        <v>872</v>
      </c>
      <c r="S38" s="93" t="s">
        <v>914</v>
      </c>
      <c r="T38" t="s">
        <v>872</v>
      </c>
    </row>
    <row r="39" spans="1:20" x14ac:dyDescent="0.35">
      <c r="B39" s="74" t="s">
        <v>100</v>
      </c>
      <c r="C39" s="74" t="s">
        <v>376</v>
      </c>
      <c r="D39" s="74" t="s">
        <v>448</v>
      </c>
      <c r="E39" s="216"/>
      <c r="F39" s="101"/>
      <c r="G39" s="101"/>
      <c r="H39" s="101"/>
      <c r="I39" s="101"/>
      <c r="Q39" t="str">
        <f t="shared" ca="1" si="0"/>
        <v>Chili</v>
      </c>
      <c r="R39" s="277" t="s">
        <v>153</v>
      </c>
      <c r="S39" s="93" t="s">
        <v>915</v>
      </c>
      <c r="T39" t="s">
        <v>153</v>
      </c>
    </row>
    <row r="40" spans="1:20" x14ac:dyDescent="0.35">
      <c r="B40" s="229" t="s">
        <v>677</v>
      </c>
      <c r="C40" s="92" t="s">
        <v>377</v>
      </c>
      <c r="D40" s="103" t="s">
        <v>458</v>
      </c>
      <c r="E40" s="103"/>
      <c r="F40" s="101"/>
      <c r="G40" s="101"/>
      <c r="H40" s="101"/>
      <c r="I40" s="101"/>
      <c r="Q40" t="str">
        <f t="shared" ca="1" si="0"/>
        <v>Chine</v>
      </c>
      <c r="R40" s="277" t="s">
        <v>154</v>
      </c>
      <c r="S40" s="93" t="s">
        <v>916</v>
      </c>
      <c r="T40" t="s">
        <v>154</v>
      </c>
    </row>
    <row r="41" spans="1:20" x14ac:dyDescent="0.35">
      <c r="B41" s="102" t="s">
        <v>108</v>
      </c>
      <c r="C41" s="92" t="s">
        <v>378</v>
      </c>
      <c r="D41" s="103" t="s">
        <v>459</v>
      </c>
      <c r="E41" s="103"/>
      <c r="F41" s="101"/>
      <c r="G41" s="101"/>
      <c r="H41" s="101"/>
      <c r="I41" s="101"/>
      <c r="Q41" t="str">
        <f t="shared" ca="1" si="0"/>
        <v>Colombie</v>
      </c>
      <c r="R41" s="277" t="s">
        <v>155</v>
      </c>
      <c r="S41" s="93" t="s">
        <v>917</v>
      </c>
      <c r="T41" t="s">
        <v>155</v>
      </c>
    </row>
    <row r="42" spans="1:20" x14ac:dyDescent="0.35">
      <c r="B42" s="229" t="s">
        <v>679</v>
      </c>
      <c r="C42" s="92" t="s">
        <v>379</v>
      </c>
      <c r="D42" s="103" t="s">
        <v>460</v>
      </c>
      <c r="E42" s="103"/>
      <c r="F42" s="101"/>
      <c r="G42" s="101"/>
      <c r="H42" s="101"/>
      <c r="I42" s="101"/>
      <c r="Q42" t="str">
        <f t="shared" ca="1" si="0"/>
        <v>Comores</v>
      </c>
      <c r="R42" s="277" t="s">
        <v>156</v>
      </c>
      <c r="S42" s="93" t="s">
        <v>918</v>
      </c>
      <c r="T42" t="s">
        <v>919</v>
      </c>
    </row>
    <row r="43" spans="1:20" x14ac:dyDescent="0.35">
      <c r="B43" s="229" t="s">
        <v>680</v>
      </c>
      <c r="C43" s="255" t="s">
        <v>784</v>
      </c>
      <c r="D43" s="242" t="s">
        <v>771</v>
      </c>
      <c r="E43" s="103"/>
      <c r="F43" s="101"/>
      <c r="G43" s="101"/>
      <c r="H43" s="101"/>
      <c r="I43" s="101"/>
      <c r="Q43" t="str">
        <f t="shared" ca="1" si="0"/>
        <v>Congo</v>
      </c>
      <c r="R43" s="277" t="s">
        <v>157</v>
      </c>
      <c r="S43" s="93" t="s">
        <v>157</v>
      </c>
      <c r="T43" t="s">
        <v>157</v>
      </c>
    </row>
    <row r="44" spans="1:20" x14ac:dyDescent="0.35">
      <c r="B44" s="213" t="s">
        <v>653</v>
      </c>
      <c r="C44" s="254" t="s">
        <v>781</v>
      </c>
      <c r="D44" s="242" t="s">
        <v>463</v>
      </c>
      <c r="E44" s="103"/>
      <c r="F44" s="101"/>
      <c r="G44" s="101"/>
      <c r="H44" s="101"/>
      <c r="I44" s="101"/>
      <c r="Q44" t="str">
        <f t="shared" ca="1" si="0"/>
        <v>Congo (République démocratique)</v>
      </c>
      <c r="R44" s="277" t="s">
        <v>158</v>
      </c>
      <c r="S44" s="93" t="s">
        <v>920</v>
      </c>
      <c r="T44" t="s">
        <v>921</v>
      </c>
    </row>
    <row r="45" spans="1:20" x14ac:dyDescent="0.35">
      <c r="B45" s="213" t="s">
        <v>681</v>
      </c>
      <c r="C45" s="242" t="s">
        <v>782</v>
      </c>
      <c r="D45" s="250" t="s">
        <v>772</v>
      </c>
      <c r="E45" s="103"/>
      <c r="F45" s="101"/>
      <c r="G45" s="101"/>
      <c r="H45" s="101"/>
      <c r="I45" s="101"/>
      <c r="Q45" t="str">
        <f t="shared" ca="1" si="0"/>
        <v>Îles Cook</v>
      </c>
      <c r="R45" s="277" t="s">
        <v>159</v>
      </c>
      <c r="S45" s="93" t="s">
        <v>922</v>
      </c>
      <c r="T45" t="s">
        <v>923</v>
      </c>
    </row>
    <row r="46" spans="1:20" x14ac:dyDescent="0.35">
      <c r="A46" s="281"/>
      <c r="B46" s="213" t="s">
        <v>654</v>
      </c>
      <c r="C46" s="242" t="s">
        <v>783</v>
      </c>
      <c r="D46" s="242" t="s">
        <v>773</v>
      </c>
      <c r="E46" s="103"/>
      <c r="F46" s="101"/>
      <c r="G46" s="101"/>
      <c r="H46" s="101"/>
      <c r="I46" s="101"/>
      <c r="Q46" t="str">
        <f t="shared" ca="1" si="0"/>
        <v>Costa Rica</v>
      </c>
      <c r="R46" s="277" t="s">
        <v>160</v>
      </c>
      <c r="S46" s="93" t="s">
        <v>160</v>
      </c>
      <c r="T46" t="s">
        <v>160</v>
      </c>
    </row>
    <row r="47" spans="1:20" x14ac:dyDescent="0.35">
      <c r="A47" s="281"/>
      <c r="B47" s="283" t="s">
        <v>1148</v>
      </c>
      <c r="C47" s="284" t="s">
        <v>1149</v>
      </c>
      <c r="D47" s="284" t="s">
        <v>1151</v>
      </c>
      <c r="E47" s="103"/>
      <c r="F47" s="101"/>
      <c r="G47" s="101"/>
      <c r="H47" s="101"/>
      <c r="I47" s="101"/>
      <c r="R47" s="277"/>
      <c r="S47" s="93"/>
    </row>
    <row r="48" spans="1:20" x14ac:dyDescent="0.35">
      <c r="B48" s="229" t="s">
        <v>101</v>
      </c>
      <c r="C48" s="92" t="s">
        <v>380</v>
      </c>
      <c r="D48" s="103" t="s">
        <v>461</v>
      </c>
      <c r="E48" s="103"/>
      <c r="F48" s="101"/>
      <c r="G48" s="101"/>
      <c r="H48" s="101"/>
      <c r="I48" s="101"/>
      <c r="Q48" t="str">
        <f t="shared" ca="1" si="0"/>
        <v>Côte d'Ivoire</v>
      </c>
      <c r="R48" s="277" t="s">
        <v>161</v>
      </c>
      <c r="S48" s="93" t="s">
        <v>161</v>
      </c>
      <c r="T48" t="s">
        <v>161</v>
      </c>
    </row>
    <row r="49" spans="1:20" x14ac:dyDescent="0.35">
      <c r="B49" s="101"/>
      <c r="C49" s="92"/>
      <c r="D49" s="103"/>
      <c r="E49" s="103"/>
      <c r="F49" s="101"/>
      <c r="G49" s="101"/>
      <c r="H49" s="101"/>
      <c r="I49" s="101"/>
      <c r="Q49" t="str">
        <f t="shared" ca="1" si="0"/>
        <v>Croatie</v>
      </c>
      <c r="R49" s="277" t="s">
        <v>162</v>
      </c>
      <c r="S49" s="93" t="s">
        <v>924</v>
      </c>
      <c r="T49" t="s">
        <v>925</v>
      </c>
    </row>
    <row r="50" spans="1:20" x14ac:dyDescent="0.35">
      <c r="B50" s="224" t="s">
        <v>647</v>
      </c>
      <c r="C50" s="251" t="s">
        <v>777</v>
      </c>
      <c r="D50" s="251" t="s">
        <v>735</v>
      </c>
      <c r="E50" s="216"/>
      <c r="F50" s="101"/>
      <c r="G50" s="101"/>
      <c r="H50" s="101"/>
      <c r="I50" s="101"/>
      <c r="Q50" t="str">
        <f t="shared" ca="1" si="0"/>
        <v>Cuba</v>
      </c>
      <c r="R50" s="277" t="s">
        <v>163</v>
      </c>
      <c r="S50" s="93" t="s">
        <v>163</v>
      </c>
      <c r="T50" t="s">
        <v>163</v>
      </c>
    </row>
    <row r="51" spans="1:20" x14ac:dyDescent="0.35">
      <c r="B51" s="229" t="s">
        <v>677</v>
      </c>
      <c r="C51" s="92" t="s">
        <v>377</v>
      </c>
      <c r="D51" s="103" t="s">
        <v>458</v>
      </c>
      <c r="E51" s="103"/>
      <c r="F51" s="101"/>
      <c r="G51" s="101"/>
      <c r="H51" s="101"/>
      <c r="I51" s="101"/>
      <c r="Q51" t="str">
        <f t="shared" ca="1" si="0"/>
        <v>Curaçao</v>
      </c>
      <c r="R51" s="277" t="s">
        <v>319</v>
      </c>
      <c r="S51" s="93" t="s">
        <v>926</v>
      </c>
      <c r="T51" t="s">
        <v>926</v>
      </c>
    </row>
    <row r="52" spans="1:20" x14ac:dyDescent="0.35">
      <c r="B52" s="102" t="s">
        <v>108</v>
      </c>
      <c r="C52" s="92" t="s">
        <v>378</v>
      </c>
      <c r="D52" s="103" t="s">
        <v>459</v>
      </c>
      <c r="E52" s="103"/>
      <c r="F52" s="101"/>
      <c r="G52" s="101"/>
      <c r="H52" s="101"/>
      <c r="I52" s="101"/>
      <c r="Q52" t="str">
        <f t="shared" ca="1" si="0"/>
        <v>Chypre</v>
      </c>
      <c r="R52" s="277" t="s">
        <v>164</v>
      </c>
      <c r="S52" s="93" t="s">
        <v>927</v>
      </c>
      <c r="T52" t="s">
        <v>928</v>
      </c>
    </row>
    <row r="53" spans="1:20" x14ac:dyDescent="0.35">
      <c r="B53" s="229" t="s">
        <v>679</v>
      </c>
      <c r="C53" s="92" t="s">
        <v>379</v>
      </c>
      <c r="D53" s="103" t="s">
        <v>460</v>
      </c>
      <c r="E53" s="103"/>
      <c r="F53" s="101"/>
      <c r="G53" s="101"/>
      <c r="H53" s="101"/>
      <c r="I53" s="101"/>
      <c r="Q53" t="str">
        <f t="shared" ca="1" si="0"/>
        <v>République tchèque</v>
      </c>
      <c r="R53" s="277" t="s">
        <v>324</v>
      </c>
      <c r="S53" s="93" t="s">
        <v>929</v>
      </c>
      <c r="T53" t="s">
        <v>930</v>
      </c>
    </row>
    <row r="54" spans="1:20" x14ac:dyDescent="0.35">
      <c r="B54" s="229" t="s">
        <v>680</v>
      </c>
      <c r="C54" s="267" t="s">
        <v>829</v>
      </c>
      <c r="D54" s="242" t="s">
        <v>771</v>
      </c>
      <c r="E54" s="103"/>
      <c r="F54" s="101"/>
      <c r="G54" s="101"/>
      <c r="H54" s="101"/>
      <c r="I54" s="101"/>
      <c r="Q54" t="str">
        <f t="shared" ca="1" si="0"/>
        <v>Danemark</v>
      </c>
      <c r="R54" s="277" t="s">
        <v>165</v>
      </c>
      <c r="S54" s="93" t="s">
        <v>931</v>
      </c>
      <c r="T54" t="s">
        <v>932</v>
      </c>
    </row>
    <row r="55" spans="1:20" x14ac:dyDescent="0.35">
      <c r="B55" s="213" t="s">
        <v>653</v>
      </c>
      <c r="C55" s="254" t="s">
        <v>781</v>
      </c>
      <c r="D55" s="242" t="s">
        <v>463</v>
      </c>
      <c r="E55" s="103"/>
      <c r="F55" s="101"/>
      <c r="G55" s="101"/>
      <c r="H55" s="101"/>
      <c r="I55" s="101"/>
      <c r="O55" s="225"/>
      <c r="P55" s="225"/>
      <c r="Q55" t="str">
        <f t="shared" ca="1" si="0"/>
        <v>Djibouti</v>
      </c>
      <c r="R55" s="277" t="s">
        <v>166</v>
      </c>
      <c r="S55" s="93" t="s">
        <v>166</v>
      </c>
      <c r="T55" t="s">
        <v>166</v>
      </c>
    </row>
    <row r="56" spans="1:20" x14ac:dyDescent="0.35">
      <c r="B56" s="213" t="s">
        <v>681</v>
      </c>
      <c r="C56" s="242" t="s">
        <v>782</v>
      </c>
      <c r="D56" s="250" t="s">
        <v>772</v>
      </c>
      <c r="E56" s="103"/>
      <c r="F56" s="101"/>
      <c r="G56" s="101"/>
      <c r="H56" s="101"/>
      <c r="I56" s="101"/>
      <c r="Q56" t="str">
        <f t="shared" ca="1" si="0"/>
        <v>Dominique</v>
      </c>
      <c r="R56" s="277" t="s">
        <v>167</v>
      </c>
      <c r="S56" s="93" t="s">
        <v>933</v>
      </c>
      <c r="T56" t="s">
        <v>167</v>
      </c>
    </row>
    <row r="57" spans="1:20" x14ac:dyDescent="0.35">
      <c r="B57" s="213" t="s">
        <v>654</v>
      </c>
      <c r="C57" s="242" t="s">
        <v>783</v>
      </c>
      <c r="D57" s="242" t="s">
        <v>773</v>
      </c>
      <c r="E57" s="103"/>
      <c r="F57" s="101"/>
      <c r="G57" s="101"/>
      <c r="H57" s="101"/>
      <c r="I57" s="101"/>
      <c r="Q57" t="str">
        <f t="shared" ca="1" si="0"/>
        <v>République dominicaine</v>
      </c>
      <c r="R57" s="277" t="s">
        <v>168</v>
      </c>
      <c r="S57" s="93" t="s">
        <v>934</v>
      </c>
      <c r="T57" t="s">
        <v>935</v>
      </c>
    </row>
    <row r="58" spans="1:20" x14ac:dyDescent="0.35">
      <c r="B58" s="213" t="s">
        <v>682</v>
      </c>
      <c r="C58" s="253" t="s">
        <v>1150</v>
      </c>
      <c r="D58" s="242" t="s">
        <v>774</v>
      </c>
      <c r="E58" s="212"/>
      <c r="F58" s="212"/>
      <c r="G58" s="212"/>
      <c r="H58" s="212"/>
      <c r="I58" s="212"/>
      <c r="J58" s="225"/>
      <c r="K58" s="225"/>
      <c r="L58" s="225"/>
      <c r="M58" s="225"/>
      <c r="N58" s="225"/>
      <c r="Q58" t="str">
        <f t="shared" ca="1" si="0"/>
        <v>Équateur</v>
      </c>
      <c r="R58" s="277" t="s">
        <v>169</v>
      </c>
      <c r="S58" s="93" t="s">
        <v>936</v>
      </c>
      <c r="T58" t="s">
        <v>169</v>
      </c>
    </row>
    <row r="59" spans="1:20" x14ac:dyDescent="0.35">
      <c r="A59" s="283"/>
      <c r="B59" s="283" t="s">
        <v>1148</v>
      </c>
      <c r="C59" s="284" t="s">
        <v>1149</v>
      </c>
      <c r="D59" s="284" t="s">
        <v>1151</v>
      </c>
      <c r="E59" s="103"/>
      <c r="F59" s="101"/>
      <c r="G59" s="101"/>
      <c r="H59" s="101"/>
      <c r="I59" s="101"/>
      <c r="Q59" t="str">
        <f t="shared" ca="1" si="0"/>
        <v>Égypte</v>
      </c>
      <c r="R59" s="277" t="s">
        <v>170</v>
      </c>
      <c r="S59" s="93" t="s">
        <v>937</v>
      </c>
      <c r="T59" t="s">
        <v>938</v>
      </c>
    </row>
    <row r="60" spans="1:20" x14ac:dyDescent="0.35">
      <c r="A60" s="281"/>
      <c r="B60" s="104" t="s">
        <v>101</v>
      </c>
      <c r="C60" s="92" t="s">
        <v>380</v>
      </c>
      <c r="D60" s="103" t="s">
        <v>461</v>
      </c>
      <c r="E60" s="103"/>
      <c r="F60" s="101"/>
      <c r="G60" s="101"/>
      <c r="H60" s="101"/>
      <c r="I60" s="101"/>
      <c r="Q60" t="str">
        <f t="shared" ca="1" si="0"/>
        <v>Salvador</v>
      </c>
      <c r="R60" s="277" t="s">
        <v>171</v>
      </c>
      <c r="S60" s="93" t="s">
        <v>939</v>
      </c>
      <c r="T60" t="s">
        <v>171</v>
      </c>
    </row>
    <row r="61" spans="1:20" x14ac:dyDescent="0.35">
      <c r="B61" s="101"/>
      <c r="C61" s="92"/>
      <c r="D61" s="103"/>
      <c r="E61" s="103"/>
      <c r="F61" s="101"/>
      <c r="G61" s="101"/>
      <c r="H61" s="101"/>
      <c r="I61" s="101"/>
      <c r="Q61" t="str">
        <f t="shared" ca="1" si="0"/>
        <v>Guinée équatoriale</v>
      </c>
      <c r="R61" s="277" t="s">
        <v>172</v>
      </c>
      <c r="S61" s="93" t="s">
        <v>940</v>
      </c>
      <c r="T61" t="s">
        <v>941</v>
      </c>
    </row>
    <row r="62" spans="1:20" x14ac:dyDescent="0.35">
      <c r="B62" s="74" t="s">
        <v>102</v>
      </c>
      <c r="C62" s="74" t="s">
        <v>381</v>
      </c>
      <c r="D62" s="74" t="s">
        <v>451</v>
      </c>
      <c r="E62" s="216"/>
      <c r="F62" s="101"/>
      <c r="G62" s="101"/>
      <c r="H62" s="101"/>
      <c r="I62" s="101"/>
      <c r="Q62" t="str">
        <f t="shared" ca="1" si="0"/>
        <v>Érythrée</v>
      </c>
      <c r="R62" s="277" t="s">
        <v>173</v>
      </c>
      <c r="S62" s="93" t="s">
        <v>942</v>
      </c>
      <c r="T62" t="s">
        <v>173</v>
      </c>
    </row>
    <row r="63" spans="1:20" x14ac:dyDescent="0.35">
      <c r="B63" s="229" t="s">
        <v>680</v>
      </c>
      <c r="C63" s="265" t="s">
        <v>829</v>
      </c>
      <c r="D63" s="242" t="s">
        <v>771</v>
      </c>
      <c r="E63" s="103"/>
      <c r="F63" s="101"/>
      <c r="G63" s="101"/>
      <c r="H63" s="101"/>
      <c r="I63" s="101"/>
      <c r="Q63" t="str">
        <f t="shared" ca="1" si="0"/>
        <v>Estonie</v>
      </c>
      <c r="R63" s="277" t="s">
        <v>174</v>
      </c>
      <c r="S63" s="93" t="s">
        <v>943</v>
      </c>
      <c r="T63" t="s">
        <v>174</v>
      </c>
    </row>
    <row r="64" spans="1:20" x14ac:dyDescent="0.35">
      <c r="B64" s="74"/>
      <c r="C64" s="74"/>
      <c r="D64" s="103"/>
      <c r="E64" s="103"/>
      <c r="F64" s="101"/>
      <c r="G64" s="101"/>
      <c r="H64" s="101"/>
      <c r="I64" s="101"/>
      <c r="Q64" t="str">
        <f t="shared" ca="1" si="0"/>
        <v>Eswatini</v>
      </c>
      <c r="R64" s="277" t="s">
        <v>944</v>
      </c>
      <c r="S64" s="93" t="s">
        <v>944</v>
      </c>
      <c r="T64" t="s">
        <v>944</v>
      </c>
    </row>
    <row r="65" spans="1:20" x14ac:dyDescent="0.35">
      <c r="B65" s="74" t="s">
        <v>111</v>
      </c>
      <c r="C65" s="74" t="s">
        <v>382</v>
      </c>
      <c r="D65" s="74" t="s">
        <v>453</v>
      </c>
      <c r="E65" s="216"/>
      <c r="F65" s="101"/>
      <c r="G65" s="101"/>
      <c r="H65" s="101"/>
      <c r="I65" s="101"/>
      <c r="Q65" t="str">
        <f t="shared" ca="1" si="0"/>
        <v>Éthiopie</v>
      </c>
      <c r="R65" s="277" t="s">
        <v>175</v>
      </c>
      <c r="S65" s="93" t="s">
        <v>945</v>
      </c>
      <c r="T65" t="s">
        <v>946</v>
      </c>
    </row>
    <row r="66" spans="1:20" x14ac:dyDescent="0.35">
      <c r="B66" s="229" t="s">
        <v>680</v>
      </c>
      <c r="C66" s="266" t="s">
        <v>829</v>
      </c>
      <c r="D66" s="242" t="s">
        <v>771</v>
      </c>
      <c r="E66" s="103"/>
      <c r="F66" s="101"/>
      <c r="G66" s="101"/>
      <c r="H66" s="101"/>
      <c r="I66" s="101"/>
      <c r="Q66" t="str">
        <f t="shared" ca="1" si="0"/>
        <v>Îles Féroé</v>
      </c>
      <c r="R66" s="277" t="s">
        <v>176</v>
      </c>
      <c r="S66" s="93" t="s">
        <v>947</v>
      </c>
      <c r="T66" t="s">
        <v>948</v>
      </c>
    </row>
    <row r="67" spans="1:20" x14ac:dyDescent="0.35">
      <c r="A67" s="87" t="s">
        <v>27</v>
      </c>
      <c r="B67" s="51"/>
      <c r="C67" s="74"/>
      <c r="D67" s="101"/>
      <c r="E67" s="101"/>
      <c r="F67" s="101"/>
      <c r="G67" s="101"/>
      <c r="H67" s="101"/>
      <c r="I67" s="101"/>
      <c r="Q67" t="str">
        <f t="shared" ref="Q67:Q130" ca="1" si="3">OFFSET($R67,0,LangOffset,1,1)</f>
        <v>Fidji</v>
      </c>
      <c r="R67" s="277" t="s">
        <v>177</v>
      </c>
      <c r="S67" s="93" t="s">
        <v>949</v>
      </c>
      <c r="T67" t="s">
        <v>177</v>
      </c>
    </row>
    <row r="68" spans="1:20" x14ac:dyDescent="0.35">
      <c r="A68" s="218"/>
      <c r="B68" s="51"/>
      <c r="C68" s="74"/>
      <c r="D68" s="101"/>
      <c r="E68" s="101"/>
      <c r="F68" s="101"/>
      <c r="G68" s="101"/>
      <c r="H68" s="101"/>
      <c r="I68" s="101"/>
      <c r="Q68" t="str">
        <f t="shared" ca="1" si="3"/>
        <v>Finlande</v>
      </c>
      <c r="R68" s="277" t="s">
        <v>178</v>
      </c>
      <c r="S68" s="93" t="s">
        <v>950</v>
      </c>
      <c r="T68" t="s">
        <v>951</v>
      </c>
    </row>
    <row r="69" spans="1:20" x14ac:dyDescent="0.35">
      <c r="B69" s="51"/>
      <c r="C69" s="74"/>
      <c r="D69" s="101"/>
      <c r="E69" s="101"/>
      <c r="F69" s="101"/>
      <c r="G69" s="101"/>
      <c r="H69" s="101"/>
      <c r="I69" s="101"/>
      <c r="Q69" t="str">
        <f t="shared" ca="1" si="3"/>
        <v>France</v>
      </c>
      <c r="R69" s="277" t="s">
        <v>179</v>
      </c>
      <c r="S69" s="93" t="s">
        <v>179</v>
      </c>
      <c r="T69" t="s">
        <v>952</v>
      </c>
    </row>
    <row r="70" spans="1:20" x14ac:dyDescent="0.35">
      <c r="B70" s="87" t="s">
        <v>23</v>
      </c>
      <c r="C70" s="218" t="s">
        <v>23</v>
      </c>
      <c r="D70" s="218" t="s">
        <v>28</v>
      </c>
      <c r="E70" s="218" t="s">
        <v>28</v>
      </c>
      <c r="F70" s="218" t="s">
        <v>25</v>
      </c>
      <c r="G70" s="218" t="s">
        <v>25</v>
      </c>
      <c r="H70" s="219"/>
      <c r="I70" s="219"/>
      <c r="L70" s="49"/>
      <c r="Q70" t="str">
        <f t="shared" ca="1" si="3"/>
        <v>Gabon</v>
      </c>
      <c r="R70" s="277" t="s">
        <v>180</v>
      </c>
      <c r="S70" s="93" t="s">
        <v>180</v>
      </c>
      <c r="T70" t="s">
        <v>953</v>
      </c>
    </row>
    <row r="71" spans="1:20" x14ac:dyDescent="0.35">
      <c r="B71" s="50" t="s">
        <v>88</v>
      </c>
      <c r="C71" s="220"/>
      <c r="D71" s="220" t="s">
        <v>383</v>
      </c>
      <c r="E71" s="101"/>
      <c r="F71" s="220" t="s">
        <v>462</v>
      </c>
      <c r="G71" s="101"/>
      <c r="H71" s="221"/>
      <c r="I71" s="101"/>
      <c r="Q71" t="str">
        <f t="shared" ca="1" si="3"/>
        <v>Gambie</v>
      </c>
      <c r="R71" s="277" t="s">
        <v>181</v>
      </c>
      <c r="S71" s="93" t="s">
        <v>954</v>
      </c>
      <c r="T71" t="s">
        <v>181</v>
      </c>
    </row>
    <row r="72" spans="1:20" x14ac:dyDescent="0.35">
      <c r="A72" s="87" t="s">
        <v>27</v>
      </c>
      <c r="B72" s="222" t="s">
        <v>641</v>
      </c>
      <c r="C72" s="227" t="s">
        <v>676</v>
      </c>
      <c r="D72" s="257" t="s">
        <v>785</v>
      </c>
      <c r="E72" s="252" t="s">
        <v>787</v>
      </c>
      <c r="F72" s="244" t="s">
        <v>740</v>
      </c>
      <c r="G72" s="245" t="s">
        <v>738</v>
      </c>
      <c r="H72" s="103"/>
      <c r="I72" s="101"/>
      <c r="Q72" t="str">
        <f t="shared" ca="1" si="3"/>
        <v>Géorgie</v>
      </c>
      <c r="R72" s="277" t="s">
        <v>182</v>
      </c>
      <c r="S72" s="93" t="s">
        <v>955</v>
      </c>
      <c r="T72" t="s">
        <v>182</v>
      </c>
    </row>
    <row r="73" spans="1:20" x14ac:dyDescent="0.35">
      <c r="A73" s="218"/>
      <c r="B73" s="213" t="s">
        <v>655</v>
      </c>
      <c r="C73" s="244" t="s">
        <v>114</v>
      </c>
      <c r="D73" s="253" t="s">
        <v>786</v>
      </c>
      <c r="E73" s="92" t="s">
        <v>386</v>
      </c>
      <c r="F73" s="242" t="s">
        <v>737</v>
      </c>
      <c r="G73" s="245" t="s">
        <v>739</v>
      </c>
      <c r="H73" s="103"/>
      <c r="I73" s="101"/>
      <c r="Q73" t="str">
        <f t="shared" ca="1" si="3"/>
        <v>Allemagne</v>
      </c>
      <c r="R73" s="277" t="s">
        <v>183</v>
      </c>
      <c r="S73" s="93" t="s">
        <v>956</v>
      </c>
      <c r="T73" t="s">
        <v>957</v>
      </c>
    </row>
    <row r="74" spans="1:20" x14ac:dyDescent="0.35">
      <c r="C74" s="90"/>
      <c r="Q74" t="str">
        <f t="shared" ca="1" si="3"/>
        <v>Ghana</v>
      </c>
      <c r="R74" s="277" t="s">
        <v>184</v>
      </c>
      <c r="S74" s="93" t="s">
        <v>184</v>
      </c>
      <c r="T74" t="s">
        <v>184</v>
      </c>
    </row>
    <row r="75" spans="1:20" x14ac:dyDescent="0.35">
      <c r="A75" s="98" t="str">
        <f t="shared" ref="A75:A83" ca="1" si="4">OFFSET(B78,0,LangOffset,1,1)</f>
        <v>Sélectionner…</v>
      </c>
      <c r="B75" s="87" t="s">
        <v>23</v>
      </c>
      <c r="C75" s="91" t="s">
        <v>28</v>
      </c>
      <c r="D75" s="87" t="s">
        <v>25</v>
      </c>
      <c r="E75" s="88"/>
      <c r="Q75" t="str">
        <f t="shared" ca="1" si="3"/>
        <v>Grèce</v>
      </c>
      <c r="R75" s="277" t="s">
        <v>185</v>
      </c>
      <c r="S75" s="93" t="s">
        <v>958</v>
      </c>
      <c r="T75" t="s">
        <v>959</v>
      </c>
    </row>
    <row r="76" spans="1:20" x14ac:dyDescent="0.35">
      <c r="A76" s="98" t="str">
        <f t="shared" ca="1" si="4"/>
        <v>hommes ayant des rapports sexuels avec des hommes (HSH)</v>
      </c>
      <c r="B76" s="51" t="s">
        <v>89</v>
      </c>
      <c r="C76" s="51" t="s">
        <v>384</v>
      </c>
      <c r="D76" s="96"/>
      <c r="E76" s="99"/>
      <c r="Q76" t="str">
        <f t="shared" ca="1" si="3"/>
        <v>Groenland</v>
      </c>
      <c r="R76" s="277" t="s">
        <v>186</v>
      </c>
      <c r="S76" s="93" t="s">
        <v>960</v>
      </c>
      <c r="T76" t="s">
        <v>961</v>
      </c>
    </row>
    <row r="77" spans="1:20" x14ac:dyDescent="0.35">
      <c r="A77" s="98" t="str">
        <f t="shared" ca="1" si="4"/>
        <v>professionnel(le)s du sexe et leurs clients</v>
      </c>
      <c r="B77" s="51"/>
      <c r="C77" s="51"/>
      <c r="D77" s="96"/>
      <c r="E77" s="99"/>
      <c r="F77" s="101"/>
      <c r="Q77" t="str">
        <f t="shared" ca="1" si="3"/>
        <v>Grenade</v>
      </c>
      <c r="R77" s="277" t="s">
        <v>187</v>
      </c>
      <c r="S77" s="93" t="s">
        <v>962</v>
      </c>
      <c r="T77" t="s">
        <v>963</v>
      </c>
    </row>
    <row r="78" spans="1:20" x14ac:dyDescent="0.35">
      <c r="A78" s="98" t="str">
        <f t="shared" ca="1" si="4"/>
        <v>personnes transgenres (TG)</v>
      </c>
      <c r="B78" s="100" t="s">
        <v>90</v>
      </c>
      <c r="C78" s="92" t="s">
        <v>385</v>
      </c>
      <c r="D78" s="103" t="s">
        <v>444</v>
      </c>
      <c r="E78" s="103"/>
      <c r="F78" s="101"/>
      <c r="Q78" t="str">
        <f t="shared" ca="1" si="3"/>
        <v>Guatemala</v>
      </c>
      <c r="R78" s="277" t="s">
        <v>188</v>
      </c>
      <c r="S78" s="93" t="s">
        <v>188</v>
      </c>
      <c r="T78" t="s">
        <v>188</v>
      </c>
    </row>
    <row r="79" spans="1:20" x14ac:dyDescent="0.35">
      <c r="A79" s="98" t="str">
        <f t="shared" ca="1" si="4"/>
        <v>personnes qui s'injectent des drogues et leurs partenaires </v>
      </c>
      <c r="B79" s="229" t="s">
        <v>677</v>
      </c>
      <c r="C79" s="92" t="s">
        <v>377</v>
      </c>
      <c r="D79" s="103" t="s">
        <v>458</v>
      </c>
      <c r="E79" s="103"/>
      <c r="F79" s="101"/>
      <c r="Q79" t="str">
        <f t="shared" ca="1" si="3"/>
        <v>Guinée</v>
      </c>
      <c r="R79" s="277" t="s">
        <v>189</v>
      </c>
      <c r="S79" s="93" t="s">
        <v>964</v>
      </c>
      <c r="T79" t="s">
        <v>189</v>
      </c>
    </row>
    <row r="80" spans="1:20" x14ac:dyDescent="0.35">
      <c r="A80" s="98" t="str">
        <f t="shared" ca="1" si="4"/>
        <v>personnes incarcérées ou se trouvant dans d'autres lieux fermés</v>
      </c>
      <c r="B80" s="100" t="s">
        <v>108</v>
      </c>
      <c r="C80" s="92" t="s">
        <v>378</v>
      </c>
      <c r="D80" s="103" t="s">
        <v>459</v>
      </c>
      <c r="E80" s="103"/>
      <c r="F80" s="101"/>
      <c r="Q80" t="str">
        <f t="shared" ca="1" si="3"/>
        <v>Guinée-Bissau</v>
      </c>
      <c r="R80" s="277" t="s">
        <v>190</v>
      </c>
      <c r="S80" s="93" t="s">
        <v>965</v>
      </c>
      <c r="T80" t="s">
        <v>966</v>
      </c>
    </row>
    <row r="81" spans="1:20" x14ac:dyDescent="0.35">
      <c r="A81" s="98" t="str">
        <f t="shared" ca="1" si="4"/>
        <v>adolescentes et jeunes femmes dans des contextes à forte prévalence</v>
      </c>
      <c r="B81" s="229" t="s">
        <v>679</v>
      </c>
      <c r="C81" s="92" t="s">
        <v>379</v>
      </c>
      <c r="D81" s="103" t="s">
        <v>460</v>
      </c>
      <c r="E81" s="103"/>
      <c r="F81" s="101"/>
      <c r="Q81" t="str">
        <f t="shared" ca="1" si="3"/>
        <v>Guyana</v>
      </c>
      <c r="R81" s="277" t="s">
        <v>191</v>
      </c>
      <c r="S81" s="93" t="s">
        <v>191</v>
      </c>
      <c r="T81" t="s">
        <v>191</v>
      </c>
    </row>
    <row r="82" spans="1:20" x14ac:dyDescent="0.35">
      <c r="A82" s="98" t="str">
        <f t="shared" ca="1" si="4"/>
        <v>hommes dans des contextes à forte prévalence</v>
      </c>
      <c r="B82" s="229" t="s">
        <v>680</v>
      </c>
      <c r="C82" s="268" t="s">
        <v>829</v>
      </c>
      <c r="D82" s="242" t="s">
        <v>771</v>
      </c>
      <c r="E82" s="103"/>
      <c r="F82" s="101"/>
      <c r="Q82" t="str">
        <f t="shared" ca="1" si="3"/>
        <v>Haïti</v>
      </c>
      <c r="R82" s="277" t="s">
        <v>192</v>
      </c>
      <c r="S82" s="93" t="s">
        <v>967</v>
      </c>
      <c r="T82" t="s">
        <v>968</v>
      </c>
    </row>
    <row r="83" spans="1:20" x14ac:dyDescent="0.35">
      <c r="A83" s="98" t="str">
        <f t="shared" ca="1" si="4"/>
        <v>autres populations vulnérables - à préciser dans les observations</v>
      </c>
      <c r="B83" s="213" t="s">
        <v>653</v>
      </c>
      <c r="C83" s="254" t="s">
        <v>781</v>
      </c>
      <c r="D83" s="242" t="s">
        <v>463</v>
      </c>
      <c r="E83" s="103"/>
      <c r="F83" s="101"/>
      <c r="Q83" t="str">
        <f t="shared" ca="1" si="3"/>
        <v>Saint-Siège (Vatican)</v>
      </c>
      <c r="R83" s="277" t="s">
        <v>193</v>
      </c>
      <c r="S83" s="93" t="s">
        <v>969</v>
      </c>
      <c r="T83" t="s">
        <v>970</v>
      </c>
    </row>
    <row r="84" spans="1:20" x14ac:dyDescent="0.35">
      <c r="B84" s="213" t="s">
        <v>681</v>
      </c>
      <c r="C84" s="242" t="s">
        <v>782</v>
      </c>
      <c r="D84" s="250" t="s">
        <v>772</v>
      </c>
      <c r="E84" s="103"/>
      <c r="F84" s="101"/>
      <c r="Q84" t="str">
        <f t="shared" ca="1" si="3"/>
        <v>Honduras</v>
      </c>
      <c r="R84" s="277" t="s">
        <v>194</v>
      </c>
      <c r="S84" s="93" t="s">
        <v>194</v>
      </c>
      <c r="T84" t="s">
        <v>194</v>
      </c>
    </row>
    <row r="85" spans="1:20" x14ac:dyDescent="0.35">
      <c r="B85" s="213" t="s">
        <v>654</v>
      </c>
      <c r="C85" s="242" t="s">
        <v>783</v>
      </c>
      <c r="D85" s="242" t="s">
        <v>773</v>
      </c>
      <c r="E85" s="103"/>
      <c r="F85" s="101"/>
      <c r="Q85" t="str">
        <f t="shared" ca="1" si="3"/>
        <v>Hongrie</v>
      </c>
      <c r="R85" s="277" t="s">
        <v>195</v>
      </c>
      <c r="S85" s="93" t="s">
        <v>971</v>
      </c>
      <c r="T85" t="s">
        <v>972</v>
      </c>
    </row>
    <row r="86" spans="1:20" x14ac:dyDescent="0.35">
      <c r="A86" s="98" t="str">
        <f t="shared" ref="A86:A94" ca="1" si="5">OFFSET(B89,0,LangOffset,1,1)</f>
        <v>Sélectionner…</v>
      </c>
      <c r="B86" s="100" t="s">
        <v>101</v>
      </c>
      <c r="C86" s="92" t="s">
        <v>380</v>
      </c>
      <c r="D86" s="103" t="s">
        <v>461</v>
      </c>
      <c r="E86" s="103"/>
      <c r="Q86" t="str">
        <f t="shared" ca="1" si="3"/>
        <v>Islande</v>
      </c>
      <c r="R86" s="277" t="s">
        <v>196</v>
      </c>
      <c r="S86" s="93" t="s">
        <v>973</v>
      </c>
      <c r="T86" t="s">
        <v>974</v>
      </c>
    </row>
    <row r="87" spans="1:20" x14ac:dyDescent="0.35">
      <c r="A87" s="98" t="str">
        <f t="shared" ca="1" si="5"/>
        <v>hommes ayant des rapports sexuels avec des hommes (HSH)</v>
      </c>
      <c r="C87" s="92"/>
      <c r="D87" s="96"/>
      <c r="E87" s="96"/>
      <c r="Q87" t="str">
        <f t="shared" ca="1" si="3"/>
        <v>Inde</v>
      </c>
      <c r="R87" s="277" t="s">
        <v>197</v>
      </c>
      <c r="S87" s="93" t="s">
        <v>975</v>
      </c>
      <c r="T87" t="s">
        <v>197</v>
      </c>
    </row>
    <row r="88" spans="1:20" x14ac:dyDescent="0.35">
      <c r="A88" s="98" t="str">
        <f t="shared" ca="1" si="5"/>
        <v>professionnel(le)s du sexe et leurs clients</v>
      </c>
      <c r="B88" s="51" t="s">
        <v>365</v>
      </c>
      <c r="C88" s="264" t="s">
        <v>821</v>
      </c>
      <c r="D88" s="96"/>
      <c r="E88" s="99"/>
      <c r="Q88" t="str">
        <f t="shared" ca="1" si="3"/>
        <v>Indonésie</v>
      </c>
      <c r="R88" s="277" t="s">
        <v>198</v>
      </c>
      <c r="S88" s="93" t="s">
        <v>976</v>
      </c>
      <c r="T88" t="s">
        <v>198</v>
      </c>
    </row>
    <row r="89" spans="1:20" x14ac:dyDescent="0.35">
      <c r="A89" s="98" t="str">
        <f t="shared" ca="1" si="5"/>
        <v>personnes transgenres (TG)</v>
      </c>
      <c r="B89" s="100" t="s">
        <v>90</v>
      </c>
      <c r="C89" s="92" t="s">
        <v>385</v>
      </c>
      <c r="D89" s="96" t="s">
        <v>444</v>
      </c>
      <c r="E89" s="96"/>
      <c r="Q89" t="str">
        <f t="shared" ca="1" si="3"/>
        <v>Iran</v>
      </c>
      <c r="R89" s="277" t="s">
        <v>199</v>
      </c>
      <c r="S89" s="93" t="s">
        <v>977</v>
      </c>
      <c r="T89" t="s">
        <v>978</v>
      </c>
    </row>
    <row r="90" spans="1:20" x14ac:dyDescent="0.35">
      <c r="A90" s="98" t="str">
        <f t="shared" ca="1" si="5"/>
        <v>personnes qui s'injectent des drogues et leurs partenaires </v>
      </c>
      <c r="B90" s="229" t="s">
        <v>677</v>
      </c>
      <c r="C90" s="92" t="s">
        <v>377</v>
      </c>
      <c r="D90" s="97" t="s">
        <v>458</v>
      </c>
      <c r="E90" s="96"/>
      <c r="Q90" t="str">
        <f t="shared" ca="1" si="3"/>
        <v>Irak</v>
      </c>
      <c r="R90" s="277" t="s">
        <v>200</v>
      </c>
      <c r="S90" s="93" t="s">
        <v>979</v>
      </c>
      <c r="T90" t="s">
        <v>200</v>
      </c>
    </row>
    <row r="91" spans="1:20" x14ac:dyDescent="0.35">
      <c r="A91" s="98" t="str">
        <f t="shared" ca="1" si="5"/>
        <v>personnes incarcérées ou se trouvant dans d'autres lieux fermés</v>
      </c>
      <c r="B91" s="100" t="s">
        <v>108</v>
      </c>
      <c r="C91" s="92" t="s">
        <v>378</v>
      </c>
      <c r="D91" s="97" t="s">
        <v>459</v>
      </c>
      <c r="E91" s="96"/>
      <c r="Q91" t="str">
        <f t="shared" ca="1" si="3"/>
        <v>Irlande</v>
      </c>
      <c r="R91" s="277" t="s">
        <v>201</v>
      </c>
      <c r="S91" s="93" t="s">
        <v>980</v>
      </c>
      <c r="T91" t="s">
        <v>981</v>
      </c>
    </row>
    <row r="92" spans="1:20" x14ac:dyDescent="0.35">
      <c r="A92" s="98" t="str">
        <f t="shared" ca="1" si="5"/>
        <v>adolescentes et jeunes femmes dans des contextes à forte prévalence</v>
      </c>
      <c r="B92" s="229" t="s">
        <v>679</v>
      </c>
      <c r="C92" s="92" t="s">
        <v>379</v>
      </c>
      <c r="D92" s="97" t="s">
        <v>460</v>
      </c>
      <c r="E92" s="96"/>
      <c r="Q92" t="str">
        <f t="shared" ca="1" si="3"/>
        <v>Israël</v>
      </c>
      <c r="R92" s="277" t="s">
        <v>202</v>
      </c>
      <c r="S92" s="93" t="s">
        <v>982</v>
      </c>
      <c r="T92" t="s">
        <v>202</v>
      </c>
    </row>
    <row r="93" spans="1:20" x14ac:dyDescent="0.35">
      <c r="A93" s="98" t="str">
        <f t="shared" ca="1" si="5"/>
        <v>hommes dans des contextes à forte prévalence</v>
      </c>
      <c r="B93" s="229" t="s">
        <v>680</v>
      </c>
      <c r="C93" s="273" t="s">
        <v>829</v>
      </c>
      <c r="D93" s="242" t="s">
        <v>771</v>
      </c>
      <c r="E93" s="96"/>
      <c r="Q93" t="str">
        <f t="shared" ca="1" si="3"/>
        <v>Italie</v>
      </c>
      <c r="R93" s="277" t="s">
        <v>203</v>
      </c>
      <c r="S93" s="93" t="s">
        <v>983</v>
      </c>
      <c r="T93" t="s">
        <v>984</v>
      </c>
    </row>
    <row r="94" spans="1:20" x14ac:dyDescent="0.35">
      <c r="A94" s="98" t="str">
        <f t="shared" ca="1" si="5"/>
        <v>autres populations vulnérables - à préciser dans les observations</v>
      </c>
      <c r="B94" s="213" t="s">
        <v>653</v>
      </c>
      <c r="C94" s="254" t="s">
        <v>781</v>
      </c>
      <c r="D94" s="242" t="s">
        <v>463</v>
      </c>
      <c r="E94" s="96"/>
      <c r="Q94" t="str">
        <f t="shared" ca="1" si="3"/>
        <v>Jamaïque</v>
      </c>
      <c r="R94" s="277" t="s">
        <v>204</v>
      </c>
      <c r="S94" s="93" t="s">
        <v>985</v>
      </c>
      <c r="T94" t="s">
        <v>204</v>
      </c>
    </row>
    <row r="95" spans="1:20" x14ac:dyDescent="0.35">
      <c r="B95" s="213" t="s">
        <v>681</v>
      </c>
      <c r="C95" s="242" t="s">
        <v>782</v>
      </c>
      <c r="D95" s="250" t="s">
        <v>772</v>
      </c>
      <c r="E95" s="96"/>
      <c r="Q95" t="str">
        <f t="shared" ca="1" si="3"/>
        <v>Japon</v>
      </c>
      <c r="R95" s="277" t="s">
        <v>205</v>
      </c>
      <c r="S95" s="93" t="s">
        <v>986</v>
      </c>
      <c r="T95" t="s">
        <v>987</v>
      </c>
    </row>
    <row r="96" spans="1:20" x14ac:dyDescent="0.35">
      <c r="B96" s="213" t="s">
        <v>654</v>
      </c>
      <c r="C96" s="242" t="s">
        <v>783</v>
      </c>
      <c r="D96" s="242" t="s">
        <v>773</v>
      </c>
      <c r="E96" s="96"/>
      <c r="Q96" t="str">
        <f t="shared" ca="1" si="3"/>
        <v>Jordanie</v>
      </c>
      <c r="R96" s="277" t="s">
        <v>206</v>
      </c>
      <c r="S96" s="93" t="s">
        <v>988</v>
      </c>
      <c r="T96" t="s">
        <v>989</v>
      </c>
    </row>
    <row r="97" spans="2:20" x14ac:dyDescent="0.35">
      <c r="B97" s="100" t="s">
        <v>101</v>
      </c>
      <c r="C97" s="92" t="s">
        <v>380</v>
      </c>
      <c r="D97" s="242" t="s">
        <v>770</v>
      </c>
      <c r="Q97" t="str">
        <f t="shared" ca="1" si="3"/>
        <v>Kazakhstan</v>
      </c>
      <c r="R97" s="277" t="s">
        <v>207</v>
      </c>
      <c r="S97" s="93" t="s">
        <v>207</v>
      </c>
      <c r="T97" t="s">
        <v>990</v>
      </c>
    </row>
    <row r="98" spans="2:20" x14ac:dyDescent="0.35">
      <c r="Q98" t="str">
        <f t="shared" ca="1" si="3"/>
        <v>Kenya</v>
      </c>
      <c r="R98" s="277" t="s">
        <v>208</v>
      </c>
      <c r="S98" s="93" t="s">
        <v>208</v>
      </c>
      <c r="T98" t="s">
        <v>208</v>
      </c>
    </row>
    <row r="99" spans="2:20" x14ac:dyDescent="0.35">
      <c r="Q99" t="str">
        <f t="shared" ca="1" si="3"/>
        <v>Kiribati</v>
      </c>
      <c r="R99" s="277" t="s">
        <v>209</v>
      </c>
      <c r="S99" s="93" t="s">
        <v>209</v>
      </c>
      <c r="T99" t="s">
        <v>209</v>
      </c>
    </row>
    <row r="100" spans="2:20" x14ac:dyDescent="0.35">
      <c r="Q100" t="str">
        <f t="shared" ca="1" si="3"/>
        <v>Corée du Nord</v>
      </c>
      <c r="R100" s="277" t="s">
        <v>210</v>
      </c>
      <c r="S100" s="93" t="s">
        <v>991</v>
      </c>
      <c r="T100" t="s">
        <v>992</v>
      </c>
    </row>
    <row r="101" spans="2:20" x14ac:dyDescent="0.35">
      <c r="Q101" t="str">
        <f t="shared" ca="1" si="3"/>
        <v>Corée du Sud</v>
      </c>
      <c r="R101" s="277" t="s">
        <v>320</v>
      </c>
      <c r="S101" s="93" t="s">
        <v>993</v>
      </c>
      <c r="T101" t="s">
        <v>994</v>
      </c>
    </row>
    <row r="102" spans="2:20" x14ac:dyDescent="0.35">
      <c r="Q102" t="str">
        <f t="shared" ca="1" si="3"/>
        <v>Kosovo</v>
      </c>
      <c r="R102" s="277" t="s">
        <v>211</v>
      </c>
      <c r="S102" s="93" t="s">
        <v>211</v>
      </c>
      <c r="T102" t="s">
        <v>211</v>
      </c>
    </row>
    <row r="103" spans="2:20" x14ac:dyDescent="0.35">
      <c r="Q103" t="str">
        <f t="shared" ca="1" si="3"/>
        <v>Koweït</v>
      </c>
      <c r="R103" s="277" t="s">
        <v>212</v>
      </c>
      <c r="S103" s="93" t="s">
        <v>995</v>
      </c>
      <c r="T103" t="s">
        <v>212</v>
      </c>
    </row>
    <row r="104" spans="2:20" x14ac:dyDescent="0.35">
      <c r="Q104" t="str">
        <f t="shared" ca="1" si="3"/>
        <v>Kirghizistan</v>
      </c>
      <c r="R104" s="277" t="s">
        <v>213</v>
      </c>
      <c r="S104" s="93" t="s">
        <v>996</v>
      </c>
      <c r="T104" t="s">
        <v>997</v>
      </c>
    </row>
    <row r="105" spans="2:20" x14ac:dyDescent="0.35">
      <c r="Q105" t="str">
        <f t="shared" ca="1" si="3"/>
        <v>Laos</v>
      </c>
      <c r="R105" s="277" t="s">
        <v>214</v>
      </c>
      <c r="S105" s="93" t="s">
        <v>998</v>
      </c>
      <c r="T105" t="s">
        <v>999</v>
      </c>
    </row>
    <row r="106" spans="2:20" x14ac:dyDescent="0.35">
      <c r="Q106" t="str">
        <f t="shared" ca="1" si="3"/>
        <v>Lettonie</v>
      </c>
      <c r="R106" s="277" t="s">
        <v>215</v>
      </c>
      <c r="S106" s="93" t="s">
        <v>1000</v>
      </c>
      <c r="T106" t="s">
        <v>1001</v>
      </c>
    </row>
    <row r="107" spans="2:20" x14ac:dyDescent="0.35">
      <c r="Q107" t="str">
        <f t="shared" ca="1" si="3"/>
        <v>Liban</v>
      </c>
      <c r="R107" s="277" t="s">
        <v>216</v>
      </c>
      <c r="S107" s="93" t="s">
        <v>1002</v>
      </c>
      <c r="T107" t="s">
        <v>1003</v>
      </c>
    </row>
    <row r="108" spans="2:20" x14ac:dyDescent="0.35">
      <c r="Q108" t="str">
        <f t="shared" ca="1" si="3"/>
        <v>Lesotho</v>
      </c>
      <c r="R108" s="277" t="s">
        <v>217</v>
      </c>
      <c r="S108" s="93" t="s">
        <v>217</v>
      </c>
      <c r="T108" t="s">
        <v>217</v>
      </c>
    </row>
    <row r="109" spans="2:20" x14ac:dyDescent="0.35">
      <c r="Q109" t="str">
        <f t="shared" ca="1" si="3"/>
        <v>Liberia</v>
      </c>
      <c r="R109" s="277" t="s">
        <v>218</v>
      </c>
      <c r="S109" s="93" t="s">
        <v>218</v>
      </c>
      <c r="T109" t="s">
        <v>218</v>
      </c>
    </row>
    <row r="110" spans="2:20" x14ac:dyDescent="0.35">
      <c r="Q110" t="str">
        <f t="shared" ca="1" si="3"/>
        <v>Libye</v>
      </c>
      <c r="R110" s="277" t="s">
        <v>321</v>
      </c>
      <c r="S110" s="93" t="s">
        <v>1004</v>
      </c>
      <c r="T110" t="s">
        <v>1005</v>
      </c>
    </row>
    <row r="111" spans="2:20" x14ac:dyDescent="0.35">
      <c r="Q111" t="str">
        <f t="shared" ca="1" si="3"/>
        <v>Liechtenstein</v>
      </c>
      <c r="R111" s="277" t="s">
        <v>219</v>
      </c>
      <c r="S111" s="93" t="s">
        <v>219</v>
      </c>
      <c r="T111" t="s">
        <v>219</v>
      </c>
    </row>
    <row r="112" spans="2:20" x14ac:dyDescent="0.35">
      <c r="Q112" t="str">
        <f t="shared" ca="1" si="3"/>
        <v>Lituanie</v>
      </c>
      <c r="R112" s="277" t="s">
        <v>220</v>
      </c>
      <c r="S112" s="93" t="s">
        <v>1006</v>
      </c>
      <c r="T112" t="s">
        <v>1007</v>
      </c>
    </row>
    <row r="113" spans="17:20" x14ac:dyDescent="0.35">
      <c r="Q113" t="str">
        <f t="shared" ca="1" si="3"/>
        <v>Luxembourg</v>
      </c>
      <c r="R113" s="277" t="s">
        <v>221</v>
      </c>
      <c r="S113" s="93" t="s">
        <v>221</v>
      </c>
      <c r="T113" t="s">
        <v>1008</v>
      </c>
    </row>
    <row r="114" spans="17:20" x14ac:dyDescent="0.35">
      <c r="Q114" t="str">
        <f t="shared" ca="1" si="3"/>
        <v>Madagascar</v>
      </c>
      <c r="R114" s="277" t="s">
        <v>222</v>
      </c>
      <c r="S114" s="93" t="s">
        <v>222</v>
      </c>
      <c r="T114" t="s">
        <v>222</v>
      </c>
    </row>
    <row r="115" spans="17:20" x14ac:dyDescent="0.35">
      <c r="Q115" t="str">
        <f t="shared" ca="1" si="3"/>
        <v>Malawi</v>
      </c>
      <c r="R115" s="277" t="s">
        <v>223</v>
      </c>
      <c r="S115" s="93" t="s">
        <v>223</v>
      </c>
      <c r="T115" t="s">
        <v>223</v>
      </c>
    </row>
    <row r="116" spans="17:20" x14ac:dyDescent="0.35">
      <c r="Q116" t="str">
        <f t="shared" ca="1" si="3"/>
        <v>Malaisie</v>
      </c>
      <c r="R116" s="277" t="s">
        <v>224</v>
      </c>
      <c r="S116" s="93" t="s">
        <v>1009</v>
      </c>
      <c r="T116" t="s">
        <v>1010</v>
      </c>
    </row>
    <row r="117" spans="17:20" x14ac:dyDescent="0.35">
      <c r="Q117" t="str">
        <f t="shared" ca="1" si="3"/>
        <v>Maldives</v>
      </c>
      <c r="R117" s="277" t="s">
        <v>225</v>
      </c>
      <c r="S117" s="93" t="s">
        <v>225</v>
      </c>
      <c r="T117" t="s">
        <v>1011</v>
      </c>
    </row>
    <row r="118" spans="17:20" x14ac:dyDescent="0.35">
      <c r="Q118" t="str">
        <f t="shared" ca="1" si="3"/>
        <v>Mali</v>
      </c>
      <c r="R118" s="277" t="s">
        <v>226</v>
      </c>
      <c r="S118" s="93" t="s">
        <v>226</v>
      </c>
      <c r="T118" t="s">
        <v>1012</v>
      </c>
    </row>
    <row r="119" spans="17:20" x14ac:dyDescent="0.35">
      <c r="Q119" t="str">
        <f t="shared" ca="1" si="3"/>
        <v>Malte</v>
      </c>
      <c r="R119" s="277" t="s">
        <v>227</v>
      </c>
      <c r="S119" s="93" t="s">
        <v>1013</v>
      </c>
      <c r="T119" t="s">
        <v>227</v>
      </c>
    </row>
    <row r="120" spans="17:20" x14ac:dyDescent="0.35">
      <c r="Q120" t="str">
        <f t="shared" ca="1" si="3"/>
        <v>Îles Marshall</v>
      </c>
      <c r="R120" s="277" t="s">
        <v>228</v>
      </c>
      <c r="S120" s="93" t="s">
        <v>1014</v>
      </c>
      <c r="T120" t="s">
        <v>1015</v>
      </c>
    </row>
    <row r="121" spans="17:20" x14ac:dyDescent="0.35">
      <c r="Q121" t="str">
        <f t="shared" ca="1" si="3"/>
        <v>Mauritanie</v>
      </c>
      <c r="R121" s="277" t="s">
        <v>229</v>
      </c>
      <c r="S121" s="93" t="s">
        <v>1016</v>
      </c>
      <c r="T121" t="s">
        <v>229</v>
      </c>
    </row>
    <row r="122" spans="17:20" x14ac:dyDescent="0.35">
      <c r="Q122" t="str">
        <f t="shared" ca="1" si="3"/>
        <v>Maurice</v>
      </c>
      <c r="R122" s="277" t="s">
        <v>230</v>
      </c>
      <c r="S122" s="93" t="s">
        <v>1017</v>
      </c>
      <c r="T122" t="s">
        <v>1018</v>
      </c>
    </row>
    <row r="123" spans="17:20" x14ac:dyDescent="0.35">
      <c r="Q123" t="str">
        <f t="shared" ca="1" si="3"/>
        <v>Mexique</v>
      </c>
      <c r="R123" s="277" t="s">
        <v>231</v>
      </c>
      <c r="S123" s="93" t="s">
        <v>1019</v>
      </c>
      <c r="T123" t="s">
        <v>1020</v>
      </c>
    </row>
    <row r="124" spans="17:20" x14ac:dyDescent="0.35">
      <c r="Q124" t="str">
        <f t="shared" ca="1" si="3"/>
        <v>Micronésie</v>
      </c>
      <c r="R124" s="277" t="s">
        <v>232</v>
      </c>
      <c r="S124" s="93" t="s">
        <v>1021</v>
      </c>
      <c r="T124" t="s">
        <v>1022</v>
      </c>
    </row>
    <row r="125" spans="17:20" x14ac:dyDescent="0.35">
      <c r="Q125" t="str">
        <f t="shared" ca="1" si="3"/>
        <v>Moldavie</v>
      </c>
      <c r="R125" s="277" t="s">
        <v>233</v>
      </c>
      <c r="S125" s="93" t="s">
        <v>1023</v>
      </c>
      <c r="T125" t="s">
        <v>1024</v>
      </c>
    </row>
    <row r="126" spans="17:20" x14ac:dyDescent="0.35">
      <c r="Q126" t="str">
        <f t="shared" ca="1" si="3"/>
        <v>Monaco</v>
      </c>
      <c r="R126" s="277" t="s">
        <v>234</v>
      </c>
      <c r="S126" s="93" t="s">
        <v>234</v>
      </c>
      <c r="T126" t="s">
        <v>1025</v>
      </c>
    </row>
    <row r="127" spans="17:20" x14ac:dyDescent="0.35">
      <c r="Q127" t="str">
        <f t="shared" ca="1" si="3"/>
        <v>Mongolie</v>
      </c>
      <c r="R127" s="277" t="s">
        <v>235</v>
      </c>
      <c r="S127" s="93" t="s">
        <v>1026</v>
      </c>
      <c r="T127" t="s">
        <v>235</v>
      </c>
    </row>
    <row r="128" spans="17:20" x14ac:dyDescent="0.35">
      <c r="Q128" t="str">
        <f t="shared" ca="1" si="3"/>
        <v>Monténégro</v>
      </c>
      <c r="R128" s="277" t="s">
        <v>236</v>
      </c>
      <c r="S128" s="93" t="s">
        <v>1027</v>
      </c>
      <c r="T128" t="s">
        <v>236</v>
      </c>
    </row>
    <row r="129" spans="17:20" x14ac:dyDescent="0.35">
      <c r="Q129" t="str">
        <f t="shared" ca="1" si="3"/>
        <v>Maroc</v>
      </c>
      <c r="R129" s="277" t="s">
        <v>237</v>
      </c>
      <c r="S129" s="93" t="s">
        <v>1028</v>
      </c>
      <c r="T129" t="s">
        <v>1029</v>
      </c>
    </row>
    <row r="130" spans="17:20" x14ac:dyDescent="0.35">
      <c r="Q130" t="str">
        <f t="shared" ca="1" si="3"/>
        <v>Mozambique</v>
      </c>
      <c r="R130" s="277" t="s">
        <v>238</v>
      </c>
      <c r="S130" s="93" t="s">
        <v>238</v>
      </c>
      <c r="T130" t="s">
        <v>238</v>
      </c>
    </row>
    <row r="131" spans="17:20" x14ac:dyDescent="0.35">
      <c r="Q131" t="str">
        <f t="shared" ref="Q131:Q194" ca="1" si="6">OFFSET($R131,0,LangOffset,1,1)</f>
        <v>Birmanie</v>
      </c>
      <c r="R131" s="277" t="s">
        <v>239</v>
      </c>
      <c r="S131" s="93" t="s">
        <v>1030</v>
      </c>
      <c r="T131" t="s">
        <v>239</v>
      </c>
    </row>
    <row r="132" spans="17:20" x14ac:dyDescent="0.35">
      <c r="Q132" t="str">
        <f t="shared" ca="1" si="6"/>
        <v>Namibie</v>
      </c>
      <c r="R132" s="277" t="s">
        <v>240</v>
      </c>
      <c r="S132" s="93" t="s">
        <v>1031</v>
      </c>
      <c r="T132" t="s">
        <v>240</v>
      </c>
    </row>
    <row r="133" spans="17:20" x14ac:dyDescent="0.35">
      <c r="Q133" t="str">
        <f t="shared" ca="1" si="6"/>
        <v>Nauru</v>
      </c>
      <c r="R133" s="277" t="s">
        <v>241</v>
      </c>
      <c r="S133" s="93" t="s">
        <v>241</v>
      </c>
      <c r="T133" t="s">
        <v>241</v>
      </c>
    </row>
    <row r="134" spans="17:20" x14ac:dyDescent="0.35">
      <c r="Q134" t="str">
        <f t="shared" ca="1" si="6"/>
        <v>Népal</v>
      </c>
      <c r="R134" s="277" t="s">
        <v>242</v>
      </c>
      <c r="S134" s="93" t="s">
        <v>1032</v>
      </c>
      <c r="T134" t="s">
        <v>242</v>
      </c>
    </row>
    <row r="135" spans="17:20" x14ac:dyDescent="0.35">
      <c r="Q135" t="str">
        <f t="shared" ca="1" si="6"/>
        <v>Pays-Bas</v>
      </c>
      <c r="R135" s="277" t="s">
        <v>243</v>
      </c>
      <c r="S135" s="93" t="s">
        <v>1033</v>
      </c>
      <c r="T135" t="s">
        <v>1034</v>
      </c>
    </row>
    <row r="136" spans="17:20" x14ac:dyDescent="0.35">
      <c r="Q136" t="str">
        <f t="shared" ca="1" si="6"/>
        <v>Nouvelle-Zélande</v>
      </c>
      <c r="R136" s="277" t="s">
        <v>244</v>
      </c>
      <c r="S136" s="93" t="s">
        <v>1035</v>
      </c>
      <c r="T136" t="s">
        <v>1036</v>
      </c>
    </row>
    <row r="137" spans="17:20" x14ac:dyDescent="0.35">
      <c r="Q137" t="str">
        <f t="shared" ca="1" si="6"/>
        <v>Nicaragua</v>
      </c>
      <c r="R137" s="277" t="s">
        <v>245</v>
      </c>
      <c r="S137" s="93" t="s">
        <v>245</v>
      </c>
      <c r="T137" t="s">
        <v>245</v>
      </c>
    </row>
    <row r="138" spans="17:20" x14ac:dyDescent="0.35">
      <c r="Q138" t="str">
        <f t="shared" ca="1" si="6"/>
        <v>Niger</v>
      </c>
      <c r="R138" s="277" t="s">
        <v>246</v>
      </c>
      <c r="S138" s="93" t="s">
        <v>246</v>
      </c>
      <c r="T138" t="s">
        <v>1037</v>
      </c>
    </row>
    <row r="139" spans="17:20" x14ac:dyDescent="0.35">
      <c r="Q139" t="str">
        <f t="shared" ca="1" si="6"/>
        <v>Nigeria</v>
      </c>
      <c r="R139" s="277" t="s">
        <v>247</v>
      </c>
      <c r="S139" s="93" t="s">
        <v>247</v>
      </c>
      <c r="T139" t="s">
        <v>247</v>
      </c>
    </row>
    <row r="140" spans="17:20" x14ac:dyDescent="0.35">
      <c r="Q140" t="str">
        <f t="shared" ca="1" si="6"/>
        <v>Niue</v>
      </c>
      <c r="R140" s="277" t="s">
        <v>248</v>
      </c>
      <c r="S140" s="93" t="s">
        <v>248</v>
      </c>
      <c r="T140" t="s">
        <v>248</v>
      </c>
    </row>
    <row r="141" spans="17:20" x14ac:dyDescent="0.35">
      <c r="Q141" t="str">
        <f t="shared" ca="1" si="6"/>
        <v>Macédoine du Nord</v>
      </c>
      <c r="R141" s="277" t="s">
        <v>1038</v>
      </c>
      <c r="S141" s="93" t="s">
        <v>1039</v>
      </c>
      <c r="T141" t="s">
        <v>1040</v>
      </c>
    </row>
    <row r="142" spans="17:20" x14ac:dyDescent="0.35">
      <c r="Q142" t="str">
        <f t="shared" ca="1" si="6"/>
        <v>Norvège</v>
      </c>
      <c r="R142" s="277" t="s">
        <v>249</v>
      </c>
      <c r="S142" s="93" t="s">
        <v>1041</v>
      </c>
      <c r="T142" t="s">
        <v>1042</v>
      </c>
    </row>
    <row r="143" spans="17:20" x14ac:dyDescent="0.35">
      <c r="Q143" t="str">
        <f t="shared" ca="1" si="6"/>
        <v>Oman</v>
      </c>
      <c r="R143" s="277" t="s">
        <v>250</v>
      </c>
      <c r="S143" s="93" t="s">
        <v>250</v>
      </c>
      <c r="T143" t="s">
        <v>1043</v>
      </c>
    </row>
    <row r="144" spans="17:20" x14ac:dyDescent="0.35">
      <c r="Q144" t="str">
        <f t="shared" ca="1" si="6"/>
        <v>Pakistan</v>
      </c>
      <c r="R144" s="277" t="s">
        <v>251</v>
      </c>
      <c r="S144" s="93" t="s">
        <v>251</v>
      </c>
      <c r="T144" t="s">
        <v>1044</v>
      </c>
    </row>
    <row r="145" spans="17:20" x14ac:dyDescent="0.35">
      <c r="Q145" t="str">
        <f t="shared" ca="1" si="6"/>
        <v>Palaos</v>
      </c>
      <c r="R145" s="277" t="s">
        <v>252</v>
      </c>
      <c r="S145" s="93" t="s">
        <v>1045</v>
      </c>
      <c r="T145" t="s">
        <v>252</v>
      </c>
    </row>
    <row r="146" spans="17:20" x14ac:dyDescent="0.35">
      <c r="Q146" t="str">
        <f t="shared" ca="1" si="6"/>
        <v>Palestine</v>
      </c>
      <c r="R146" s="277" t="s">
        <v>322</v>
      </c>
      <c r="S146" s="93" t="s">
        <v>322</v>
      </c>
      <c r="T146" t="s">
        <v>1046</v>
      </c>
    </row>
    <row r="147" spans="17:20" x14ac:dyDescent="0.35">
      <c r="Q147" t="str">
        <f t="shared" ca="1" si="6"/>
        <v>Panama</v>
      </c>
      <c r="R147" s="277" t="s">
        <v>253</v>
      </c>
      <c r="S147" s="93" t="s">
        <v>253</v>
      </c>
      <c r="T147" t="s">
        <v>1047</v>
      </c>
    </row>
    <row r="148" spans="17:20" x14ac:dyDescent="0.35">
      <c r="Q148" t="str">
        <f t="shared" ca="1" si="6"/>
        <v>Papouasie-Nouvelle-Guinée</v>
      </c>
      <c r="R148" s="277" t="s">
        <v>254</v>
      </c>
      <c r="S148" s="93" t="s">
        <v>1048</v>
      </c>
      <c r="T148" t="s">
        <v>1049</v>
      </c>
    </row>
    <row r="149" spans="17:20" x14ac:dyDescent="0.35">
      <c r="Q149" t="str">
        <f t="shared" ca="1" si="6"/>
        <v>Paraguay</v>
      </c>
      <c r="R149" s="277" t="s">
        <v>255</v>
      </c>
      <c r="S149" s="93" t="s">
        <v>255</v>
      </c>
      <c r="T149" t="s">
        <v>255</v>
      </c>
    </row>
    <row r="150" spans="17:20" x14ac:dyDescent="0.35">
      <c r="Q150" t="str">
        <f t="shared" ca="1" si="6"/>
        <v>Pérou</v>
      </c>
      <c r="R150" s="277" t="s">
        <v>256</v>
      </c>
      <c r="S150" s="93" t="s">
        <v>1050</v>
      </c>
      <c r="T150" t="s">
        <v>1051</v>
      </c>
    </row>
    <row r="151" spans="17:20" x14ac:dyDescent="0.35">
      <c r="Q151" t="str">
        <f t="shared" ca="1" si="6"/>
        <v>Philippines</v>
      </c>
      <c r="R151" s="277" t="s">
        <v>257</v>
      </c>
      <c r="S151" s="93" t="s">
        <v>257</v>
      </c>
      <c r="T151" t="s">
        <v>1052</v>
      </c>
    </row>
    <row r="152" spans="17:20" x14ac:dyDescent="0.35">
      <c r="Q152" t="str">
        <f t="shared" ca="1" si="6"/>
        <v>Pologne</v>
      </c>
      <c r="R152" s="277" t="s">
        <v>258</v>
      </c>
      <c r="S152" s="93" t="s">
        <v>1053</v>
      </c>
      <c r="T152" t="s">
        <v>1054</v>
      </c>
    </row>
    <row r="153" spans="17:20" x14ac:dyDescent="0.35">
      <c r="Q153" t="str">
        <f t="shared" ca="1" si="6"/>
        <v>Portugal</v>
      </c>
      <c r="R153" s="277" t="s">
        <v>259</v>
      </c>
      <c r="S153" s="93" t="s">
        <v>259</v>
      </c>
      <c r="T153" t="s">
        <v>259</v>
      </c>
    </row>
    <row r="154" spans="17:20" x14ac:dyDescent="0.35">
      <c r="Q154" t="str">
        <f t="shared" ca="1" si="6"/>
        <v>Qatar</v>
      </c>
      <c r="R154" s="277" t="s">
        <v>260</v>
      </c>
      <c r="S154" s="93" t="s">
        <v>260</v>
      </c>
      <c r="T154" t="s">
        <v>260</v>
      </c>
    </row>
    <row r="155" spans="17:20" x14ac:dyDescent="0.35">
      <c r="Q155" t="str">
        <f t="shared" ca="1" si="6"/>
        <v>Roumanie</v>
      </c>
      <c r="R155" s="277" t="s">
        <v>261</v>
      </c>
      <c r="S155" s="93" t="s">
        <v>1055</v>
      </c>
      <c r="T155" t="s">
        <v>1056</v>
      </c>
    </row>
    <row r="156" spans="17:20" x14ac:dyDescent="0.35">
      <c r="Q156" t="str">
        <f t="shared" ca="1" si="6"/>
        <v>Russie</v>
      </c>
      <c r="R156" s="277" t="s">
        <v>262</v>
      </c>
      <c r="S156" s="93" t="s">
        <v>1057</v>
      </c>
      <c r="T156" t="s">
        <v>1058</v>
      </c>
    </row>
    <row r="157" spans="17:20" x14ac:dyDescent="0.35">
      <c r="Q157" t="str">
        <f t="shared" ca="1" si="6"/>
        <v>Rwanda</v>
      </c>
      <c r="R157" s="277" t="s">
        <v>263</v>
      </c>
      <c r="S157" s="93" t="s">
        <v>263</v>
      </c>
      <c r="T157" t="s">
        <v>263</v>
      </c>
    </row>
    <row r="158" spans="17:20" x14ac:dyDescent="0.35">
      <c r="Q158" t="str">
        <f t="shared" ca="1" si="6"/>
        <v>Saint-Christophe-et-Niévès</v>
      </c>
      <c r="R158" s="277" t="s">
        <v>264</v>
      </c>
      <c r="S158" s="93" t="s">
        <v>1059</v>
      </c>
      <c r="T158" t="s">
        <v>1060</v>
      </c>
    </row>
    <row r="159" spans="17:20" x14ac:dyDescent="0.35">
      <c r="Q159" t="str">
        <f t="shared" ca="1" si="6"/>
        <v>Sainte-Lucie</v>
      </c>
      <c r="R159" s="277" t="s">
        <v>265</v>
      </c>
      <c r="S159" s="93" t="s">
        <v>1061</v>
      </c>
      <c r="T159" t="s">
        <v>1062</v>
      </c>
    </row>
    <row r="160" spans="17:20" x14ac:dyDescent="0.35">
      <c r="Q160" t="str">
        <f t="shared" ca="1" si="6"/>
        <v>Saint-Vincent-et-les Grenadines</v>
      </c>
      <c r="R160" s="277" t="s">
        <v>266</v>
      </c>
      <c r="S160" s="93" t="s">
        <v>1063</v>
      </c>
      <c r="T160" t="s">
        <v>1064</v>
      </c>
    </row>
    <row r="161" spans="17:20" x14ac:dyDescent="0.35">
      <c r="Q161" t="str">
        <f t="shared" ca="1" si="6"/>
        <v>Samoa</v>
      </c>
      <c r="R161" s="277" t="s">
        <v>267</v>
      </c>
      <c r="S161" s="93" t="s">
        <v>267</v>
      </c>
      <c r="T161" t="s">
        <v>267</v>
      </c>
    </row>
    <row r="162" spans="17:20" x14ac:dyDescent="0.35">
      <c r="Q162" t="str">
        <f t="shared" ca="1" si="6"/>
        <v>Saint-Marin</v>
      </c>
      <c r="R162" s="277" t="s">
        <v>268</v>
      </c>
      <c r="S162" s="93" t="s">
        <v>1065</v>
      </c>
      <c r="T162" t="s">
        <v>268</v>
      </c>
    </row>
    <row r="163" spans="17:20" x14ac:dyDescent="0.35">
      <c r="Q163" t="str">
        <f t="shared" ca="1" si="6"/>
        <v>Sao Tomé-et-Principe</v>
      </c>
      <c r="R163" s="277" t="s">
        <v>269</v>
      </c>
      <c r="S163" s="93" t="s">
        <v>1066</v>
      </c>
      <c r="T163" t="s">
        <v>1067</v>
      </c>
    </row>
    <row r="164" spans="17:20" x14ac:dyDescent="0.35">
      <c r="Q164" t="str">
        <f t="shared" ca="1" si="6"/>
        <v>Arabie saoudite</v>
      </c>
      <c r="R164" s="277" t="s">
        <v>270</v>
      </c>
      <c r="S164" s="93" t="s">
        <v>1068</v>
      </c>
      <c r="T164" t="s">
        <v>1069</v>
      </c>
    </row>
    <row r="165" spans="17:20" x14ac:dyDescent="0.35">
      <c r="Q165" t="str">
        <f t="shared" ca="1" si="6"/>
        <v>Sénégal</v>
      </c>
      <c r="R165" s="277" t="s">
        <v>271</v>
      </c>
      <c r="S165" s="93" t="s">
        <v>1070</v>
      </c>
      <c r="T165" t="s">
        <v>271</v>
      </c>
    </row>
    <row r="166" spans="17:20" x14ac:dyDescent="0.35">
      <c r="Q166" t="str">
        <f t="shared" ca="1" si="6"/>
        <v>Serbie</v>
      </c>
      <c r="R166" s="277" t="s">
        <v>272</v>
      </c>
      <c r="S166" s="93" t="s">
        <v>1071</v>
      </c>
      <c r="T166" t="s">
        <v>272</v>
      </c>
    </row>
    <row r="167" spans="17:20" x14ac:dyDescent="0.35">
      <c r="Q167" t="str">
        <f t="shared" ca="1" si="6"/>
        <v>Seychelles</v>
      </c>
      <c r="R167" s="277" t="s">
        <v>273</v>
      </c>
      <c r="S167" s="93" t="s">
        <v>273</v>
      </c>
      <c r="T167" t="s">
        <v>273</v>
      </c>
    </row>
    <row r="168" spans="17:20" x14ac:dyDescent="0.35">
      <c r="Q168" t="str">
        <f t="shared" ca="1" si="6"/>
        <v>Sierra Leone</v>
      </c>
      <c r="R168" s="277" t="s">
        <v>274</v>
      </c>
      <c r="S168" s="93" t="s">
        <v>274</v>
      </c>
      <c r="T168" t="s">
        <v>1072</v>
      </c>
    </row>
    <row r="169" spans="17:20" x14ac:dyDescent="0.35">
      <c r="Q169" t="str">
        <f t="shared" ca="1" si="6"/>
        <v>Singapour</v>
      </c>
      <c r="R169" s="277" t="s">
        <v>275</v>
      </c>
      <c r="S169" s="93" t="s">
        <v>1073</v>
      </c>
      <c r="T169" t="s">
        <v>1074</v>
      </c>
    </row>
    <row r="170" spans="17:20" x14ac:dyDescent="0.35">
      <c r="Q170" t="str">
        <f t="shared" ca="1" si="6"/>
        <v>Sint Maarten</v>
      </c>
      <c r="R170" s="277" t="s">
        <v>323</v>
      </c>
      <c r="S170" s="93" t="s">
        <v>1075</v>
      </c>
      <c r="T170" t="s">
        <v>1076</v>
      </c>
    </row>
    <row r="171" spans="17:20" x14ac:dyDescent="0.35">
      <c r="Q171" t="str">
        <f t="shared" ca="1" si="6"/>
        <v>Slovaquie</v>
      </c>
      <c r="R171" s="277" t="s">
        <v>276</v>
      </c>
      <c r="S171" s="93" t="s">
        <v>1077</v>
      </c>
      <c r="T171" t="s">
        <v>1078</v>
      </c>
    </row>
    <row r="172" spans="17:20" x14ac:dyDescent="0.35">
      <c r="Q172" t="str">
        <f t="shared" ca="1" si="6"/>
        <v>Slovénie</v>
      </c>
      <c r="R172" s="277" t="s">
        <v>277</v>
      </c>
      <c r="S172" s="93" t="s">
        <v>1079</v>
      </c>
      <c r="T172" t="s">
        <v>1080</v>
      </c>
    </row>
    <row r="173" spans="17:20" x14ac:dyDescent="0.35">
      <c r="Q173" t="str">
        <f t="shared" ca="1" si="6"/>
        <v>Salomon</v>
      </c>
      <c r="R173" s="277" t="s">
        <v>278</v>
      </c>
      <c r="S173" s="93" t="s">
        <v>1081</v>
      </c>
      <c r="T173" t="s">
        <v>1082</v>
      </c>
    </row>
    <row r="174" spans="17:20" x14ac:dyDescent="0.35">
      <c r="Q174" t="str">
        <f t="shared" ca="1" si="6"/>
        <v>Somalie</v>
      </c>
      <c r="R174" s="277" t="s">
        <v>279</v>
      </c>
      <c r="S174" s="93" t="s">
        <v>1083</v>
      </c>
      <c r="T174" t="s">
        <v>279</v>
      </c>
    </row>
    <row r="175" spans="17:20" x14ac:dyDescent="0.35">
      <c r="Q175" t="str">
        <f t="shared" ca="1" si="6"/>
        <v>Afrique du Sud</v>
      </c>
      <c r="R175" s="277" t="s">
        <v>280</v>
      </c>
      <c r="S175" s="93" t="s">
        <v>1084</v>
      </c>
      <c r="T175" t="s">
        <v>1085</v>
      </c>
    </row>
    <row r="176" spans="17:20" x14ac:dyDescent="0.35">
      <c r="Q176" t="str">
        <f t="shared" ca="1" si="6"/>
        <v>Soudan du Sud</v>
      </c>
      <c r="R176" s="277" t="s">
        <v>281</v>
      </c>
      <c r="S176" s="93" t="s">
        <v>1086</v>
      </c>
      <c r="T176" t="s">
        <v>1087</v>
      </c>
    </row>
    <row r="177" spans="17:20" x14ac:dyDescent="0.35">
      <c r="Q177" t="str">
        <f t="shared" ca="1" si="6"/>
        <v>Espagne</v>
      </c>
      <c r="R177" s="277" t="s">
        <v>282</v>
      </c>
      <c r="S177" s="93" t="s">
        <v>1088</v>
      </c>
      <c r="T177" t="s">
        <v>1089</v>
      </c>
    </row>
    <row r="178" spans="17:20" x14ac:dyDescent="0.35">
      <c r="Q178" t="str">
        <f t="shared" ca="1" si="6"/>
        <v>Sri Lanka</v>
      </c>
      <c r="R178" s="277" t="s">
        <v>283</v>
      </c>
      <c r="S178" s="93" t="s">
        <v>283</v>
      </c>
      <c r="T178" t="s">
        <v>283</v>
      </c>
    </row>
    <row r="179" spans="17:20" x14ac:dyDescent="0.35">
      <c r="Q179" t="str">
        <f t="shared" ca="1" si="6"/>
        <v>Soudan</v>
      </c>
      <c r="R179" s="277" t="s">
        <v>284</v>
      </c>
      <c r="S179" s="93" t="s">
        <v>1090</v>
      </c>
      <c r="T179" t="s">
        <v>1091</v>
      </c>
    </row>
    <row r="180" spans="17:20" x14ac:dyDescent="0.35">
      <c r="Q180" t="str">
        <f t="shared" ca="1" si="6"/>
        <v>Suriname</v>
      </c>
      <c r="R180" s="277" t="s">
        <v>285</v>
      </c>
      <c r="S180" s="93" t="s">
        <v>285</v>
      </c>
      <c r="T180" t="s">
        <v>285</v>
      </c>
    </row>
    <row r="181" spans="17:20" x14ac:dyDescent="0.35">
      <c r="Q181" t="str">
        <f t="shared" ca="1" si="6"/>
        <v>Suède</v>
      </c>
      <c r="R181" s="277" t="s">
        <v>286</v>
      </c>
      <c r="S181" s="93" t="s">
        <v>1092</v>
      </c>
      <c r="T181" t="s">
        <v>1093</v>
      </c>
    </row>
    <row r="182" spans="17:20" x14ac:dyDescent="0.35">
      <c r="Q182" t="str">
        <f t="shared" ca="1" si="6"/>
        <v>Suisse</v>
      </c>
      <c r="R182" s="277" t="s">
        <v>287</v>
      </c>
      <c r="S182" s="93" t="s">
        <v>1094</v>
      </c>
      <c r="T182" t="s">
        <v>1095</v>
      </c>
    </row>
    <row r="183" spans="17:20" x14ac:dyDescent="0.35">
      <c r="Q183" t="str">
        <f t="shared" ca="1" si="6"/>
        <v>Syrie</v>
      </c>
      <c r="R183" s="277" t="s">
        <v>288</v>
      </c>
      <c r="S183" s="93" t="s">
        <v>1096</v>
      </c>
      <c r="T183" t="s">
        <v>1097</v>
      </c>
    </row>
    <row r="184" spans="17:20" x14ac:dyDescent="0.35">
      <c r="Q184" t="str">
        <f t="shared" ca="1" si="6"/>
        <v>Taïwan</v>
      </c>
      <c r="R184" s="277" t="s">
        <v>289</v>
      </c>
      <c r="S184" s="93" t="s">
        <v>1098</v>
      </c>
      <c r="T184" t="s">
        <v>1099</v>
      </c>
    </row>
    <row r="185" spans="17:20" x14ac:dyDescent="0.35">
      <c r="Q185" t="str">
        <f t="shared" ca="1" si="6"/>
        <v>Tadjikistan</v>
      </c>
      <c r="R185" s="277" t="s">
        <v>290</v>
      </c>
      <c r="S185" s="93" t="s">
        <v>1100</v>
      </c>
      <c r="T185" t="s">
        <v>1101</v>
      </c>
    </row>
    <row r="186" spans="17:20" x14ac:dyDescent="0.35">
      <c r="Q186" t="str">
        <f t="shared" ca="1" si="6"/>
        <v>Tanzanie (République Unie)</v>
      </c>
      <c r="R186" s="277" t="s">
        <v>291</v>
      </c>
      <c r="S186" s="93" t="s">
        <v>1102</v>
      </c>
      <c r="T186" t="s">
        <v>1103</v>
      </c>
    </row>
    <row r="187" spans="17:20" x14ac:dyDescent="0.35">
      <c r="Q187" t="str">
        <f t="shared" ca="1" si="6"/>
        <v>Thaïlande</v>
      </c>
      <c r="R187" s="277" t="s">
        <v>292</v>
      </c>
      <c r="S187" s="93" t="s">
        <v>1104</v>
      </c>
      <c r="T187" t="s">
        <v>1105</v>
      </c>
    </row>
    <row r="188" spans="17:20" x14ac:dyDescent="0.35">
      <c r="Q188" t="str">
        <f t="shared" ca="1" si="6"/>
        <v>Timor oriental</v>
      </c>
      <c r="R188" s="277" t="s">
        <v>293</v>
      </c>
      <c r="S188" s="93" t="s">
        <v>1106</v>
      </c>
      <c r="T188" t="s">
        <v>293</v>
      </c>
    </row>
    <row r="189" spans="17:20" x14ac:dyDescent="0.35">
      <c r="Q189" t="str">
        <f t="shared" ca="1" si="6"/>
        <v>Togo</v>
      </c>
      <c r="R189" s="277" t="s">
        <v>294</v>
      </c>
      <c r="S189" s="93" t="s">
        <v>294</v>
      </c>
      <c r="T189" t="s">
        <v>294</v>
      </c>
    </row>
    <row r="190" spans="17:20" x14ac:dyDescent="0.35">
      <c r="Q190" t="str">
        <f t="shared" ca="1" si="6"/>
        <v>Tokelau</v>
      </c>
      <c r="R190" s="277" t="s">
        <v>295</v>
      </c>
      <c r="S190" s="93" t="s">
        <v>295</v>
      </c>
      <c r="T190" t="s">
        <v>295</v>
      </c>
    </row>
    <row r="191" spans="17:20" x14ac:dyDescent="0.35">
      <c r="Q191" t="str">
        <f t="shared" ca="1" si="6"/>
        <v>Tonga</v>
      </c>
      <c r="R191" s="277" t="s">
        <v>296</v>
      </c>
      <c r="S191" s="93" t="s">
        <v>296</v>
      </c>
      <c r="T191" t="s">
        <v>296</v>
      </c>
    </row>
    <row r="192" spans="17:20" x14ac:dyDescent="0.35">
      <c r="Q192" t="str">
        <f t="shared" ca="1" si="6"/>
        <v>Trinité-et-Tobago</v>
      </c>
      <c r="R192" s="277" t="s">
        <v>297</v>
      </c>
      <c r="S192" s="93" t="s">
        <v>1107</v>
      </c>
      <c r="T192" t="s">
        <v>1108</v>
      </c>
    </row>
    <row r="193" spans="17:20" x14ac:dyDescent="0.35">
      <c r="Q193" t="str">
        <f t="shared" ca="1" si="6"/>
        <v>Tunisie</v>
      </c>
      <c r="R193" s="277" t="s">
        <v>298</v>
      </c>
      <c r="S193" s="93" t="s">
        <v>1109</v>
      </c>
      <c r="T193" t="s">
        <v>1110</v>
      </c>
    </row>
    <row r="194" spans="17:20" x14ac:dyDescent="0.35">
      <c r="Q194" t="str">
        <f t="shared" ca="1" si="6"/>
        <v>Turquie</v>
      </c>
      <c r="R194" s="277" t="s">
        <v>299</v>
      </c>
      <c r="S194" s="93" t="s">
        <v>1111</v>
      </c>
      <c r="T194" t="s">
        <v>1112</v>
      </c>
    </row>
    <row r="195" spans="17:20" x14ac:dyDescent="0.35">
      <c r="Q195" t="str">
        <f t="shared" ref="Q195:Q244" ca="1" si="7">OFFSET($R195,0,LangOffset,1,1)</f>
        <v>Turkménistan</v>
      </c>
      <c r="R195" s="277" t="s">
        <v>300</v>
      </c>
      <c r="S195" s="93" t="s">
        <v>1113</v>
      </c>
      <c r="T195" t="s">
        <v>1114</v>
      </c>
    </row>
    <row r="196" spans="17:20" x14ac:dyDescent="0.35">
      <c r="Q196" t="str">
        <f t="shared" ca="1" si="7"/>
        <v>Tuvalu</v>
      </c>
      <c r="R196" s="277" t="s">
        <v>301</v>
      </c>
      <c r="S196" s="93" t="s">
        <v>301</v>
      </c>
      <c r="T196" t="s">
        <v>301</v>
      </c>
    </row>
    <row r="197" spans="17:20" x14ac:dyDescent="0.35">
      <c r="Q197" t="str">
        <f t="shared" ca="1" si="7"/>
        <v>Ouganda</v>
      </c>
      <c r="R197" s="277" t="s">
        <v>302</v>
      </c>
      <c r="S197" s="93" t="s">
        <v>1115</v>
      </c>
      <c r="T197" t="s">
        <v>302</v>
      </c>
    </row>
    <row r="198" spans="17:20" x14ac:dyDescent="0.35">
      <c r="Q198" t="str">
        <f t="shared" ca="1" si="7"/>
        <v>Ukraine</v>
      </c>
      <c r="R198" s="277" t="s">
        <v>303</v>
      </c>
      <c r="S198" s="93" t="s">
        <v>303</v>
      </c>
      <c r="T198" t="s">
        <v>1116</v>
      </c>
    </row>
    <row r="199" spans="17:20" x14ac:dyDescent="0.35">
      <c r="Q199" t="str">
        <f t="shared" ca="1" si="7"/>
        <v>Émirats arabes unis</v>
      </c>
      <c r="R199" s="277" t="s">
        <v>304</v>
      </c>
      <c r="S199" s="93" t="s">
        <v>1117</v>
      </c>
      <c r="T199" t="s">
        <v>1118</v>
      </c>
    </row>
    <row r="200" spans="17:20" x14ac:dyDescent="0.35">
      <c r="Q200" t="str">
        <f t="shared" ca="1" si="7"/>
        <v>Royaume-Uni</v>
      </c>
      <c r="R200" s="277" t="s">
        <v>305</v>
      </c>
      <c r="S200" s="93" t="s">
        <v>1119</v>
      </c>
      <c r="T200" t="s">
        <v>1120</v>
      </c>
    </row>
    <row r="201" spans="17:20" x14ac:dyDescent="0.35">
      <c r="Q201" t="str">
        <f t="shared" ca="1" si="7"/>
        <v>États-Unis</v>
      </c>
      <c r="R201" s="277" t="s">
        <v>306</v>
      </c>
      <c r="S201" s="93" t="s">
        <v>1121</v>
      </c>
      <c r="T201" t="s">
        <v>1122</v>
      </c>
    </row>
    <row r="202" spans="17:20" x14ac:dyDescent="0.35">
      <c r="Q202" t="str">
        <f t="shared" ca="1" si="7"/>
        <v>Uruguay</v>
      </c>
      <c r="R202" s="277" t="s">
        <v>307</v>
      </c>
      <c r="S202" s="93" t="s">
        <v>307</v>
      </c>
      <c r="T202" t="s">
        <v>307</v>
      </c>
    </row>
    <row r="203" spans="17:20" x14ac:dyDescent="0.35">
      <c r="Q203" t="str">
        <f t="shared" ca="1" si="7"/>
        <v>Ouzbékistan</v>
      </c>
      <c r="R203" s="277" t="s">
        <v>308</v>
      </c>
      <c r="S203" s="93" t="s">
        <v>1123</v>
      </c>
      <c r="T203" t="s">
        <v>1124</v>
      </c>
    </row>
    <row r="204" spans="17:20" x14ac:dyDescent="0.35">
      <c r="Q204" t="str">
        <f t="shared" ca="1" si="7"/>
        <v>Vanuatu</v>
      </c>
      <c r="R204" s="277" t="s">
        <v>309</v>
      </c>
      <c r="S204" s="93" t="s">
        <v>309</v>
      </c>
      <c r="T204" t="s">
        <v>309</v>
      </c>
    </row>
    <row r="205" spans="17:20" x14ac:dyDescent="0.35">
      <c r="Q205" t="str">
        <f t="shared" ca="1" si="7"/>
        <v>Venezuela</v>
      </c>
      <c r="R205" s="277" t="s">
        <v>310</v>
      </c>
      <c r="S205" s="93" t="s">
        <v>310</v>
      </c>
      <c r="T205" t="s">
        <v>310</v>
      </c>
    </row>
    <row r="206" spans="17:20" x14ac:dyDescent="0.35">
      <c r="Q206" t="str">
        <f t="shared" ca="1" si="7"/>
        <v>Viêt Nam</v>
      </c>
      <c r="R206" s="277" t="s">
        <v>311</v>
      </c>
      <c r="S206" s="93" t="s">
        <v>1125</v>
      </c>
      <c r="T206" t="s">
        <v>311</v>
      </c>
    </row>
    <row r="207" spans="17:20" x14ac:dyDescent="0.35">
      <c r="Q207" t="str">
        <f t="shared" ca="1" si="7"/>
        <v>Sahara occidental</v>
      </c>
      <c r="R207" s="277" t="s">
        <v>312</v>
      </c>
      <c r="S207" s="93" t="s">
        <v>1126</v>
      </c>
      <c r="T207" t="s">
        <v>1127</v>
      </c>
    </row>
    <row r="208" spans="17:20" x14ac:dyDescent="0.35">
      <c r="Q208" t="str">
        <f t="shared" ca="1" si="7"/>
        <v>Yémen</v>
      </c>
      <c r="R208" s="277" t="s">
        <v>313</v>
      </c>
      <c r="S208" s="93" t="s">
        <v>1128</v>
      </c>
      <c r="T208" t="s">
        <v>313</v>
      </c>
    </row>
    <row r="209" spans="17:20" x14ac:dyDescent="0.35">
      <c r="Q209" t="str">
        <f t="shared" ca="1" si="7"/>
        <v>Zambie</v>
      </c>
      <c r="R209" s="277" t="s">
        <v>314</v>
      </c>
      <c r="S209" s="93" t="s">
        <v>1129</v>
      </c>
      <c r="T209" t="s">
        <v>314</v>
      </c>
    </row>
    <row r="210" spans="17:20" x14ac:dyDescent="0.35">
      <c r="Q210" t="str">
        <f t="shared" ca="1" si="7"/>
        <v>Zimbabwe</v>
      </c>
      <c r="R210" s="277" t="s">
        <v>316</v>
      </c>
      <c r="S210" s="93" t="s">
        <v>316</v>
      </c>
      <c r="T210" t="s">
        <v>316</v>
      </c>
    </row>
    <row r="211" spans="17:20" x14ac:dyDescent="0.35">
      <c r="Q211" t="str">
        <f t="shared" ca="1" si="7"/>
        <v>Zanzibar</v>
      </c>
      <c r="R211" s="277" t="s">
        <v>315</v>
      </c>
      <c r="S211" s="93" t="s">
        <v>315</v>
      </c>
      <c r="T211" t="s">
        <v>315</v>
      </c>
    </row>
    <row r="212" spans="17:20" x14ac:dyDescent="0.35">
      <c r="Q212">
        <f t="shared" ca="1" si="7"/>
        <v>0</v>
      </c>
      <c r="R212" s="277"/>
      <c r="S212" s="93"/>
    </row>
    <row r="213" spans="17:20" x14ac:dyDescent="0.35">
      <c r="Q213">
        <f t="shared" ca="1" si="7"/>
        <v>0</v>
      </c>
      <c r="R213" s="277"/>
      <c r="S213" s="93"/>
    </row>
    <row r="214" spans="17:20" x14ac:dyDescent="0.35">
      <c r="Q214">
        <f t="shared" ca="1" si="7"/>
        <v>0</v>
      </c>
      <c r="R214" s="277"/>
      <c r="S214" s="93"/>
    </row>
    <row r="215" spans="17:20" x14ac:dyDescent="0.35">
      <c r="Q215">
        <f t="shared" ca="1" si="7"/>
        <v>0</v>
      </c>
      <c r="R215" s="277"/>
      <c r="S215" s="93"/>
    </row>
    <row r="216" spans="17:20" x14ac:dyDescent="0.35">
      <c r="Q216">
        <f t="shared" ca="1" si="7"/>
        <v>0</v>
      </c>
      <c r="R216" s="277"/>
      <c r="S216" s="93"/>
    </row>
    <row r="217" spans="17:20" x14ac:dyDescent="0.35">
      <c r="Q217">
        <f t="shared" ca="1" si="7"/>
        <v>0</v>
      </c>
      <c r="R217" s="277"/>
      <c r="S217" s="93"/>
    </row>
    <row r="218" spans="17:20" x14ac:dyDescent="0.35">
      <c r="Q218">
        <f t="shared" ca="1" si="7"/>
        <v>0</v>
      </c>
      <c r="R218" s="277"/>
      <c r="S218" s="93"/>
    </row>
    <row r="219" spans="17:20" x14ac:dyDescent="0.35">
      <c r="Q219">
        <f t="shared" ca="1" si="7"/>
        <v>0</v>
      </c>
      <c r="R219" s="277"/>
      <c r="S219" s="93"/>
    </row>
    <row r="220" spans="17:20" x14ac:dyDescent="0.35">
      <c r="Q220">
        <f t="shared" ca="1" si="7"/>
        <v>0</v>
      </c>
      <c r="R220" s="277"/>
      <c r="S220" s="93"/>
    </row>
    <row r="221" spans="17:20" x14ac:dyDescent="0.35">
      <c r="Q221">
        <f t="shared" ca="1" si="7"/>
        <v>0</v>
      </c>
      <c r="R221" s="277"/>
      <c r="S221" s="93"/>
    </row>
    <row r="222" spans="17:20" x14ac:dyDescent="0.35">
      <c r="Q222">
        <f t="shared" ca="1" si="7"/>
        <v>0</v>
      </c>
      <c r="R222" s="277"/>
      <c r="S222" s="93"/>
    </row>
    <row r="223" spans="17:20" x14ac:dyDescent="0.35">
      <c r="Q223">
        <f t="shared" ca="1" si="7"/>
        <v>0</v>
      </c>
      <c r="R223" s="277"/>
      <c r="S223" s="93"/>
    </row>
    <row r="224" spans="17:20" x14ac:dyDescent="0.35">
      <c r="Q224">
        <f t="shared" ca="1" si="7"/>
        <v>0</v>
      </c>
      <c r="R224" s="277"/>
      <c r="S224" s="93"/>
    </row>
    <row r="225" spans="17:19" x14ac:dyDescent="0.35">
      <c r="Q225">
        <f t="shared" ca="1" si="7"/>
        <v>0</v>
      </c>
      <c r="R225" s="277"/>
      <c r="S225" s="93"/>
    </row>
    <row r="226" spans="17:19" x14ac:dyDescent="0.35">
      <c r="Q226">
        <f t="shared" ca="1" si="7"/>
        <v>0</v>
      </c>
      <c r="R226" s="277"/>
      <c r="S226" s="93"/>
    </row>
    <row r="227" spans="17:19" x14ac:dyDescent="0.35">
      <c r="Q227">
        <f t="shared" ca="1" si="7"/>
        <v>0</v>
      </c>
      <c r="R227" s="277"/>
      <c r="S227" s="93"/>
    </row>
    <row r="228" spans="17:19" x14ac:dyDescent="0.35">
      <c r="Q228">
        <f t="shared" ca="1" si="7"/>
        <v>0</v>
      </c>
      <c r="R228" s="277"/>
      <c r="S228" s="93"/>
    </row>
    <row r="229" spans="17:19" x14ac:dyDescent="0.35">
      <c r="Q229">
        <f t="shared" ca="1" si="7"/>
        <v>0</v>
      </c>
      <c r="R229" s="277"/>
      <c r="S229" s="93"/>
    </row>
    <row r="230" spans="17:19" x14ac:dyDescent="0.35">
      <c r="Q230">
        <f t="shared" ca="1" si="7"/>
        <v>0</v>
      </c>
      <c r="R230" s="277"/>
      <c r="S230" s="93"/>
    </row>
    <row r="231" spans="17:19" x14ac:dyDescent="0.35">
      <c r="Q231">
        <f t="shared" ca="1" si="7"/>
        <v>0</v>
      </c>
      <c r="R231" s="277"/>
      <c r="S231" s="93"/>
    </row>
    <row r="232" spans="17:19" x14ac:dyDescent="0.35">
      <c r="Q232">
        <f t="shared" ca="1" si="7"/>
        <v>0</v>
      </c>
      <c r="R232" s="277"/>
      <c r="S232" s="93"/>
    </row>
    <row r="233" spans="17:19" x14ac:dyDescent="0.35">
      <c r="Q233">
        <f t="shared" ca="1" si="7"/>
        <v>0</v>
      </c>
      <c r="R233" s="277"/>
      <c r="S233" s="93"/>
    </row>
    <row r="234" spans="17:19" x14ac:dyDescent="0.35">
      <c r="Q234">
        <f t="shared" ca="1" si="7"/>
        <v>0</v>
      </c>
      <c r="R234" s="277"/>
      <c r="S234" s="93"/>
    </row>
    <row r="235" spans="17:19" x14ac:dyDescent="0.35">
      <c r="Q235">
        <f t="shared" ca="1" si="7"/>
        <v>0</v>
      </c>
      <c r="R235" s="277"/>
      <c r="S235" s="93"/>
    </row>
    <row r="236" spans="17:19" x14ac:dyDescent="0.35">
      <c r="Q236">
        <f t="shared" ca="1" si="7"/>
        <v>0</v>
      </c>
      <c r="R236" s="277"/>
      <c r="S236" s="93"/>
    </row>
    <row r="237" spans="17:19" x14ac:dyDescent="0.35">
      <c r="Q237">
        <f t="shared" ca="1" si="7"/>
        <v>0</v>
      </c>
      <c r="R237" s="277"/>
      <c r="S237" s="93"/>
    </row>
    <row r="238" spans="17:19" x14ac:dyDescent="0.35">
      <c r="Q238">
        <f t="shared" ca="1" si="7"/>
        <v>0</v>
      </c>
      <c r="R238" s="277"/>
      <c r="S238" s="93"/>
    </row>
    <row r="239" spans="17:19" x14ac:dyDescent="0.35">
      <c r="Q239">
        <f t="shared" ca="1" si="7"/>
        <v>0</v>
      </c>
      <c r="R239" s="277"/>
      <c r="S239" s="93"/>
    </row>
    <row r="240" spans="17:19" x14ac:dyDescent="0.35">
      <c r="Q240">
        <f t="shared" ca="1" si="7"/>
        <v>0</v>
      </c>
      <c r="R240" s="277"/>
      <c r="S240" s="93"/>
    </row>
    <row r="241" spans="17:19" x14ac:dyDescent="0.35">
      <c r="Q241">
        <f t="shared" ca="1" si="7"/>
        <v>0</v>
      </c>
      <c r="R241" s="277"/>
      <c r="S241" s="93"/>
    </row>
    <row r="242" spans="17:19" x14ac:dyDescent="0.35">
      <c r="Q242">
        <f t="shared" ca="1" si="7"/>
        <v>0</v>
      </c>
      <c r="R242" s="277"/>
      <c r="S242" s="93"/>
    </row>
    <row r="243" spans="17:19" x14ac:dyDescent="0.35">
      <c r="Q243">
        <f t="shared" ca="1" si="7"/>
        <v>0</v>
      </c>
      <c r="R243" s="277"/>
      <c r="S243" s="93"/>
    </row>
    <row r="244" spans="17:19" x14ac:dyDescent="0.35">
      <c r="Q244">
        <f t="shared" ca="1" si="7"/>
        <v>0</v>
      </c>
      <c r="R244" s="277"/>
      <c r="S244" s="93"/>
    </row>
    <row r="245" spans="17:19" x14ac:dyDescent="0.35">
      <c r="R245" s="95"/>
      <c r="S245" s="93"/>
    </row>
    <row r="246" spans="17:19" x14ac:dyDescent="0.35">
      <c r="R246" s="95"/>
      <c r="S246" s="93"/>
    </row>
    <row r="247" spans="17:19" x14ac:dyDescent="0.35">
      <c r="R247" s="95"/>
      <c r="S247" s="93"/>
    </row>
    <row r="248" spans="17:19" x14ac:dyDescent="0.35">
      <c r="R248" s="95"/>
      <c r="S248" s="93"/>
    </row>
    <row r="249" spans="17:19" x14ac:dyDescent="0.35">
      <c r="R249" s="95"/>
      <c r="S249" s="93"/>
    </row>
    <row r="250" spans="17:19" x14ac:dyDescent="0.35">
      <c r="R250" s="95"/>
      <c r="S250" s="93"/>
    </row>
    <row r="251" spans="17:19" x14ac:dyDescent="0.35">
      <c r="R251" s="95"/>
      <c r="S251" s="93"/>
    </row>
    <row r="252" spans="17:19" x14ac:dyDescent="0.35">
      <c r="R252" s="95"/>
      <c r="S252" s="93"/>
    </row>
    <row r="253" spans="17:19" x14ac:dyDescent="0.35">
      <c r="R253" s="95"/>
      <c r="S253" s="93"/>
    </row>
    <row r="254" spans="17:19" x14ac:dyDescent="0.35">
      <c r="R254" s="95"/>
      <c r="S254" s="93"/>
    </row>
    <row r="255" spans="17:19" x14ac:dyDescent="0.35">
      <c r="R255" s="95"/>
      <c r="S255" s="93"/>
    </row>
    <row r="256" spans="17:19" x14ac:dyDescent="0.35">
      <c r="R256" s="95"/>
      <c r="S256" s="93"/>
    </row>
    <row r="257" spans="18:19" x14ac:dyDescent="0.35">
      <c r="R257" s="95"/>
      <c r="S257" s="93"/>
    </row>
    <row r="258" spans="18:19" x14ac:dyDescent="0.35">
      <c r="R258" s="95"/>
      <c r="S258" s="93"/>
    </row>
    <row r="259" spans="18:19" x14ac:dyDescent="0.35">
      <c r="R259" s="95"/>
      <c r="S259" s="93"/>
    </row>
    <row r="260" spans="18:19" x14ac:dyDescent="0.35">
      <c r="R260" s="95"/>
      <c r="S260" s="93"/>
    </row>
    <row r="261" spans="18:19" x14ac:dyDescent="0.35">
      <c r="R261" s="95"/>
      <c r="S261" s="93"/>
    </row>
    <row r="262" spans="18:19" x14ac:dyDescent="0.35">
      <c r="R262" s="95"/>
      <c r="S262" s="93"/>
    </row>
    <row r="263" spans="18:19" x14ac:dyDescent="0.35">
      <c r="R263" s="95"/>
      <c r="S263" s="93"/>
    </row>
    <row r="264" spans="18:19" x14ac:dyDescent="0.35">
      <c r="R264" s="95"/>
      <c r="S264" s="93"/>
    </row>
    <row r="265" spans="18:19" x14ac:dyDescent="0.35">
      <c r="R265" s="95"/>
      <c r="S265" s="93"/>
    </row>
    <row r="266" spans="18:19" x14ac:dyDescent="0.35">
      <c r="R266" s="95"/>
      <c r="S266" s="93"/>
    </row>
    <row r="267" spans="18:19" x14ac:dyDescent="0.35">
      <c r="R267" s="95"/>
      <c r="S267" s="93"/>
    </row>
    <row r="268" spans="18:19" x14ac:dyDescent="0.35">
      <c r="R268" s="95"/>
      <c r="S268" s="93"/>
    </row>
    <row r="269" spans="18:19" x14ac:dyDescent="0.35">
      <c r="R269" s="95"/>
      <c r="S269" s="93"/>
    </row>
    <row r="270" spans="18:19" x14ac:dyDescent="0.35">
      <c r="R270" s="95"/>
      <c r="S270" s="93"/>
    </row>
    <row r="271" spans="18:19" x14ac:dyDescent="0.35">
      <c r="R271" s="95"/>
      <c r="S271" s="94"/>
    </row>
  </sheetData>
  <sheetProtection password="E205"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713ECAB89B2D45978C966736D2132B" ma:contentTypeVersion="18" ma:contentTypeDescription="Create a new document." ma:contentTypeScope="" ma:versionID="f26c0adf57217e29233e77a6405c03c4">
  <xsd:schema xmlns:xsd="http://www.w3.org/2001/XMLSchema" xmlns:xs="http://www.w3.org/2001/XMLSchema" xmlns:p="http://schemas.microsoft.com/office/2006/metadata/properties" xmlns:ns2="6a6644d3-f248-4067-83c6-e7eac864ebba" xmlns:ns3="bd6503db-64e4-4edd-a88a-28c904500f78" xmlns:ns4="a345560c-7f88-4e77-be50-7aca9d40ee02" targetNamespace="http://schemas.microsoft.com/office/2006/metadata/properties" ma:root="true" ma:fieldsID="70d17c2b85150eaa3abb7346f0621005" ns2:_="" ns3:_="" ns4:_="">
    <xsd:import namespace="6a6644d3-f248-4067-83c6-e7eac864ebba"/>
    <xsd:import namespace="bd6503db-64e4-4edd-a88a-28c904500f78"/>
    <xsd:import namespace="a345560c-7f88-4e77-be50-7aca9d40ee02"/>
    <xsd:element name="properties">
      <xsd:complexType>
        <xsd:sequence>
          <xsd:element name="documentManagement">
            <xsd:complexType>
              <xsd:all>
                <xsd:element ref="ns2:_dlc_DocId" minOccurs="0"/>
                <xsd:element ref="ns2:_dlc_DocIdUrl" minOccurs="0"/>
                <xsd:element ref="ns2:_dlc_DocIdPersistId" minOccurs="0"/>
                <xsd:element ref="ns3:Original_x0020_File_x0020_Name" minOccurs="0"/>
                <xsd:element ref="ns3:Language" minOccurs="0"/>
                <xsd:element ref="ns3:Window_x0020_number" minOccurs="0"/>
                <xsd:element ref="ns3:Document_x0020_File_x0020_Type"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salesforceProperties" minOccurs="0"/>
                <xsd:element ref="ns3:MediaServiceAutoTags" minOccurs="0"/>
                <xsd:element ref="ns3:MediaServiceOCR" minOccurs="0"/>
                <xsd:element ref="ns3:MediaServiceGenerationTime" minOccurs="0"/>
                <xsd:element ref="ns3:MediaServiceEventHashCode" minOccurs="0"/>
                <xsd:element ref="ns3:_Flow_SignoffStatu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644d3-f248-4067-83c6-e7eac864ebb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d6503db-64e4-4edd-a88a-28c904500f78" elementFormDefault="qualified">
    <xsd:import namespace="http://schemas.microsoft.com/office/2006/documentManagement/types"/>
    <xsd:import namespace="http://schemas.microsoft.com/office/infopath/2007/PartnerControls"/>
    <xsd:element name="Original_x0020_File_x0020_Name" ma:index="11" nillable="true" ma:displayName="Original File Name" ma:internalName="Original_x0020_File_x0020_Name">
      <xsd:simpleType>
        <xsd:restriction base="dms:Text">
          <xsd:maxLength value="255"/>
        </xsd:restriction>
      </xsd:simpleType>
    </xsd:element>
    <xsd:element name="Language" ma:index="12" nillable="true" ma:displayName="Language" ma:internalName="Language">
      <xsd:simpleType>
        <xsd:restriction base="dms:Text">
          <xsd:maxLength value="80"/>
        </xsd:restriction>
      </xsd:simpleType>
    </xsd:element>
    <xsd:element name="Window_x0020_number" ma:index="13" nillable="true" ma:displayName="Window number" ma:internalName="Window_x0020_number">
      <xsd:simpleType>
        <xsd:restriction base="dms:Text">
          <xsd:maxLength value="255"/>
        </xsd:restriction>
      </xsd:simpleType>
    </xsd:element>
    <xsd:element name="Document_x0020_File_x0020_Type" ma:index="14" nillable="true" ma:displayName="Document File Type" ma:internalName="Document_x0020_File_x0020_Type">
      <xsd:simpleType>
        <xsd:restriction base="dms:Text">
          <xsd:maxLength value="100"/>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salesforceProperties" ma:index="22" nillable="true" ma:displayName="salesforceProperties" ma:default="1" ma:internalName="salesforceProperties">
      <xsd:simpleType>
        <xsd:restriction base="dms:Boolean"/>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_Flow_SignoffStatus" ma:index="27" nillable="true" ma:displayName="Sign-off status" ma:internalName="Sign_x002d_off_x0020_status">
      <xsd:simpleType>
        <xsd:restriction base="dms:Text"/>
      </xsd:simpleType>
    </xsd:element>
    <xsd:element name="MediaLengthInSeconds" ma:index="2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45560c-7f88-4e77-be50-7aca9d40ee0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dlc_DocId xmlns="6a6644d3-f248-4067-83c6-e7eac864ebba">NAXEWDDVUNHE-581286713-8405</_dlc_DocId>
    <_dlc_DocIdUrl xmlns="6a6644d3-f248-4067-83c6-e7eac864ebba">
      <Url>https://tgf.sharepoint.com/sites/ESA2F1/TRPL/_layouts/15/DocIdRedir.aspx?ID=NAXEWDDVUNHE-581286713-8405</Url>
      <Description>NAXEWDDVUNHE-581286713-8405</Description>
    </_dlc_DocIdUrl>
    <Window_x0020_number xmlns="bd6503db-64e4-4edd-a88a-28c904500f78">Window 2b - May 2020</Window_x0020_number>
    <Document_x0020_File_x0020_Type xmlns="bd6503db-64e4-4edd-a88a-28c904500f78">Programmatic Gap Table - HIV</Document_x0020_File_x0020_Type>
    <Original_x0020_File_x0020_Name xmlns="bd6503db-64e4-4edd-a88a-28c904500f78">CIV_VIH_gap programmatique_150620(1)</Original_x0020_File_x0020_Name>
    <Language xmlns="bd6503db-64e4-4edd-a88a-28c904500f78">French</Language>
    <salesforceProperties xmlns="bd6503db-64e4-4edd-a88a-28c904500f78">false</salesforceProperties>
    <_Flow_SignoffStatus xmlns="bd6503db-64e4-4edd-a88a-28c904500f7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DC2D652-DC8D-4A92-ACFA-1A72079D31B6}"/>
</file>

<file path=customXml/itemProps2.xml><?xml version="1.0" encoding="utf-8"?>
<ds:datastoreItem xmlns:ds="http://schemas.openxmlformats.org/officeDocument/2006/customXml" ds:itemID="{FD5E49FD-D38C-45C9-AC5F-2DA8A52E43B2}"/>
</file>

<file path=customXml/itemProps3.xml><?xml version="1.0" encoding="utf-8"?>
<ds:datastoreItem xmlns:ds="http://schemas.openxmlformats.org/officeDocument/2006/customXml" ds:itemID="{54A30DD0-FFDC-4D2A-8563-B7A8F56624F8}">
  <ds:schemaRefs>
    <ds:schemaRef ds:uri="f38a6ea3-8fa1-4d99-a918-482700c446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96b5506-40ef-409e-90b1-64551241fa96"/>
    <ds:schemaRef ds:uri="http://www.w3.org/XML/1998/namespace"/>
    <ds:schemaRef ds:uri="http://purl.org/dc/dcmitype/"/>
  </ds:schemaRefs>
</ds:datastoreItem>
</file>

<file path=customXml/itemProps4.xml><?xml version="1.0" encoding="utf-8"?>
<ds:datastoreItem xmlns:ds="http://schemas.openxmlformats.org/officeDocument/2006/customXml" ds:itemID="{30BF25D7-05CC-4686-A969-14D966711E4C}">
  <ds:schemaRefs>
    <ds:schemaRef ds:uri="http://schemas.microsoft.com/sharepoint/v3/contenttype/forms"/>
  </ds:schemaRefs>
</ds:datastoreItem>
</file>

<file path=customXml/itemProps5.xml><?xml version="1.0" encoding="utf-8"?>
<ds:datastoreItem xmlns:ds="http://schemas.openxmlformats.org/officeDocument/2006/customXml" ds:itemID="{BBAE1A47-B079-4892-9F10-A0D4D01AAD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36</vt:i4>
      </vt:variant>
    </vt:vector>
  </HeadingPairs>
  <TitlesOfParts>
    <vt:vector size="46" baseType="lpstr">
      <vt:lpstr>Cover Sheet</vt:lpstr>
      <vt:lpstr>Instructions</vt:lpstr>
      <vt:lpstr>HIV Tables</vt:lpstr>
      <vt:lpstr>NSP gap table</vt:lpstr>
      <vt:lpstr>PrEP gap table</vt:lpstr>
      <vt:lpstr>Condom gap table</vt:lpstr>
      <vt:lpstr>Male Circumcision Gap Table</vt:lpstr>
      <vt:lpstr>Blank table (only if needed)</vt:lpstr>
      <vt:lpstr>HIV dropdown</vt:lpstr>
      <vt:lpstr>Translations</vt:lpstr>
      <vt:lpstr>ApplicantType</vt:lpstr>
      <vt:lpstr>DépistagedelatuberculosechezlespatientsséropositifsauVIH</vt:lpstr>
      <vt:lpstr>DifferentiatedHIVtestingservices</vt:lpstr>
      <vt:lpstr>Geography</vt:lpstr>
      <vt:lpstr>HIVModulesIndicators</vt:lpstr>
      <vt:lpstr>KeyPop</vt:lpstr>
      <vt:lpstr>KeyPopPrep</vt:lpstr>
      <vt:lpstr>LangOffset</vt:lpstr>
      <vt:lpstr>Language</vt:lpstr>
      <vt:lpstr>ListHIVModules</vt:lpstr>
      <vt:lpstr>Preventionprogramsforkeypopulations_definedpackageofservices</vt:lpstr>
      <vt:lpstr>PreventionprogramsforPWIDandtheirpartners_Needleandsyringedistribution</vt:lpstr>
      <vt:lpstr>PreventionprogramsforPWIDandtheirpartners_OSTandotherdrugdependencetreatmentforPWIDs</vt:lpstr>
      <vt:lpstr>Programasdeprevencióndestinadosalaspoblacionesclave.Paquetedefinidodeservicios</vt:lpstr>
      <vt:lpstr>Programasdeprevencióndestinadosalaspoblacionesclave.PruebasdeVIH</vt:lpstr>
      <vt:lpstr>Programasdeprevenciónintegralparapersonasqueseinyectandrogasysusparejas_Programasdeagujasyjeringuillas</vt:lpstr>
      <vt:lpstr>Programasdeprevenciónintegralparapersonasqueseinyectandrogasysusparejas_Terapiadesustitucióndeopiáceosyotrostratamientosparaladrogodependenciadepersonasqueseinyectandrogas</vt:lpstr>
      <vt:lpstr>Programmesdepréventiondestinésauxusagersdedroguesinjectablesetàleurspartenaires_Programmesliésauxaiguillesetdeseringues</vt:lpstr>
      <vt:lpstr>Programmesdepréventiondestinésauxusagersdedroguesinjectablesetàleurspartenaires_Traitementsdesubstitutionauxopiacésetautrestraitementsdeladépendancepourlesusagersdedroguesinjectables</vt:lpstr>
      <vt:lpstr>Programmesdepréventionpourlespopulationsclés_DépistageduVIH</vt:lpstr>
      <vt:lpstr>Programmesdepréventionpourlespopulationsclés_Paquetdeservicesdéfinis</vt:lpstr>
      <vt:lpstr>RevisióndetuberculosisenpacientesconVIH</vt:lpstr>
      <vt:lpstr>ServicesdedépistagedifférenciésduVIH</vt:lpstr>
      <vt:lpstr>ServiciosdiferenciadosdepruebasdeVIH</vt:lpstr>
      <vt:lpstr>TBscreeningamongHIVpatients</vt:lpstr>
      <vt:lpstr>Traitementpriseenchargeetsoutien_Prestationdeservicesetpriseenchargedifférenciéespourlestraitementsantirétroviraux</vt:lpstr>
      <vt:lpstr>Tratamientoatenciónyapoyo_Prestacióndeserviciosdiferenciadosatenciónytratamientoantirretroviral</vt:lpstr>
      <vt:lpstr>TreatmentCareandSupport_ART</vt:lpstr>
      <vt:lpstr>TreatmentCareandSupport_DifferentiatedARTServiceDeliveryAndCare</vt:lpstr>
      <vt:lpstr>'Blank table (only if needed)'!Zone_d_impression</vt:lpstr>
      <vt:lpstr>'Condom gap table'!Zone_d_impression</vt:lpstr>
      <vt:lpstr>'HIV Tables'!Zone_d_impression</vt:lpstr>
      <vt:lpstr>Instructions!Zone_d_impression</vt:lpstr>
      <vt:lpstr>'Male Circumcision Gap Table'!Zone_d_impression</vt:lpstr>
      <vt:lpstr>'NSP gap table'!Zone_d_impression</vt:lpstr>
      <vt:lpstr>'PrEP gap table'!Zone_d_impression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CIV_VIH_gap programmatique_150620(1)</dc:title>
  <dc:creator>William Saitta</dc:creator>
  <cp:lastModifiedBy>ADMIN</cp:lastModifiedBy>
  <cp:lastPrinted>2016-10-21T08:21:38Z</cp:lastPrinted>
  <dcterms:created xsi:type="dcterms:W3CDTF">2014-05-13T14:32:54Z</dcterms:created>
  <dcterms:modified xsi:type="dcterms:W3CDTF">2020-06-15T10:42:13Z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0x01010052713ECAB89B2D45978C966736D2132B</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2015-03-11T14:23:13Z</vt:filetime>
  </property>
  <property fmtid="{D5CDD505-2E9C-101B-9397-08002B2CF9AE}" pid="9" name="Editor">
    <vt:lpwstr>3;#;UserInfo</vt:lpwstr>
  </property>
  <property fmtid="{D5CDD505-2E9C-101B-9397-08002B2CF9AE}" pid="10" name="Created">
    <vt:filetime>2015-03-11T14:23:04Z</vt:filetime>
  </property>
  <property fmtid="{D5CDD505-2E9C-101B-9397-08002B2CF9AE}" pid="11" name="_dlc_DocId">
    <vt:lpwstr>3NAZ7T4E3CZ3-1392380233-646</vt:lpwstr>
  </property>
  <property fmtid="{D5CDD505-2E9C-101B-9397-08002B2CF9AE}" pid="12" name="_dlc_DocIdUrl">
    <vt:lpwstr>https://tgf.sharepoint.com/sites/TSA2F1/A2FT/_layouts/15/DocIdRedir.aspx?ID=3NAZ7T4E3CZ3-1392380233-646, 3NAZ7T4E3CZ3-1392380233-646</vt:lpwstr>
  </property>
  <property fmtid="{D5CDD505-2E9C-101B-9397-08002B2CF9AE}" pid="13" name="_dlc_DocIdItemGuid">
    <vt:lpwstr>34229893-46f3-4eec-9ee0-cab1ad3138b6</vt:lpwstr>
  </property>
</Properties>
</file>